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10" windowWidth="15590" windowHeight="6830" tabRatio="458" activeTab="2"/>
  </bookViews>
  <sheets>
    <sheet name="Top Sheet" sheetId="9" r:id="rId1"/>
    <sheet name="Summary New Year" sheetId="20" r:id="rId2"/>
    <sheet name="New Year-Full Year" sheetId="1" r:id="rId3"/>
    <sheet name="Pastor Detail" sheetId="21" r:id="rId4"/>
  </sheets>
  <definedNames>
    <definedName name="Bud_Yr">'Top Sheet'!$C$2</definedName>
    <definedName name="_xlnm.Print_Titles" localSheetId="2">'New Year-Full Year'!$2:$4</definedName>
    <definedName name="_xlnm.Print_Titles" localSheetId="1">'Summary New Year'!$1:$4</definedName>
  </definedNames>
  <calcPr calcId="124519"/>
</workbook>
</file>

<file path=xl/calcChain.xml><?xml version="1.0" encoding="utf-8"?>
<calcChain xmlns="http://schemas.openxmlformats.org/spreadsheetml/2006/main">
  <c r="O97" i="1"/>
  <c r="V96"/>
  <c r="R96"/>
  <c r="Q96"/>
  <c r="V95"/>
  <c r="R95"/>
  <c r="Q95"/>
  <c r="V94"/>
  <c r="R94"/>
  <c r="Q94"/>
  <c r="G80" l="1"/>
  <c r="G82" s="1"/>
  <c r="G81"/>
  <c r="W123"/>
  <c r="W137"/>
  <c r="G51" i="21"/>
  <c r="G37"/>
  <c r="G30"/>
  <c r="G11"/>
  <c r="F30"/>
  <c r="E30"/>
  <c r="C30"/>
  <c r="G28"/>
  <c r="F28"/>
  <c r="E28"/>
  <c r="D28"/>
  <c r="C28"/>
  <c r="O80" i="1"/>
  <c r="O89"/>
  <c r="O88"/>
  <c r="O87"/>
  <c r="D63" i="21"/>
  <c r="G57"/>
  <c r="V88" i="1"/>
  <c r="D60" i="21"/>
  <c r="H60"/>
  <c r="H63" s="1"/>
  <c r="H58"/>
  <c r="D58"/>
  <c r="E58"/>
  <c r="F58"/>
  <c r="G58"/>
  <c r="C58"/>
  <c r="H57"/>
  <c r="H39"/>
  <c r="H17"/>
  <c r="H46"/>
  <c r="E3"/>
  <c r="E46"/>
  <c r="E26"/>
  <c r="E14"/>
  <c r="D48"/>
  <c r="D46"/>
  <c r="F46"/>
  <c r="G46"/>
  <c r="C46"/>
  <c r="P141" i="1"/>
  <c r="Q88" l="1"/>
  <c r="R88"/>
  <c r="E33" i="21"/>
  <c r="D33"/>
  <c r="D49" s="1"/>
  <c r="D5"/>
  <c r="D8"/>
  <c r="D14"/>
  <c r="C14"/>
  <c r="F14"/>
  <c r="G14"/>
  <c r="F26"/>
  <c r="G33"/>
  <c r="G38" s="1"/>
  <c r="C8"/>
  <c r="C26" s="1"/>
  <c r="B5"/>
  <c r="K133" i="1"/>
  <c r="O126"/>
  <c r="U184"/>
  <c r="T184"/>
  <c r="P184"/>
  <c r="O184"/>
  <c r="O162"/>
  <c r="W136"/>
  <c r="W135"/>
  <c r="W132"/>
  <c r="O155"/>
  <c r="O153"/>
  <c r="O152"/>
  <c r="P142"/>
  <c r="H142"/>
  <c r="H141"/>
  <c r="F141" s="1"/>
  <c r="H137"/>
  <c r="P135"/>
  <c r="H133"/>
  <c r="H132"/>
  <c r="P132"/>
  <c r="M128"/>
  <c r="I128"/>
  <c r="E128"/>
  <c r="O124"/>
  <c r="O123"/>
  <c r="O7"/>
  <c r="V174"/>
  <c r="R174"/>
  <c r="Q174"/>
  <c r="L133"/>
  <c r="V134"/>
  <c r="R134"/>
  <c r="Q134"/>
  <c r="V141"/>
  <c r="L141"/>
  <c r="V143"/>
  <c r="U79"/>
  <c r="T79"/>
  <c r="V64"/>
  <c r="R64"/>
  <c r="Q64"/>
  <c r="P101"/>
  <c r="D38" i="21" l="1"/>
  <c r="P82" i="1" s="1"/>
  <c r="H23" i="21"/>
  <c r="H21"/>
  <c r="F33"/>
  <c r="F48"/>
  <c r="E38"/>
  <c r="E49"/>
  <c r="C33"/>
  <c r="C48"/>
  <c r="B6"/>
  <c r="F133" i="1"/>
  <c r="O141"/>
  <c r="W141"/>
  <c r="R133"/>
  <c r="Q143"/>
  <c r="J102" i="20"/>
  <c r="I102"/>
  <c r="F102"/>
  <c r="E102"/>
  <c r="I72"/>
  <c r="K102" l="1"/>
  <c r="H47" i="21"/>
  <c r="H50" s="1"/>
  <c r="H51" s="1"/>
  <c r="G3"/>
  <c r="G6" s="1"/>
  <c r="C3"/>
  <c r="C6" s="1"/>
  <c r="D3"/>
  <c r="D6" s="1"/>
  <c r="D11" s="1"/>
  <c r="C38"/>
  <c r="C49"/>
  <c r="F38"/>
  <c r="F49"/>
  <c r="R141" i="1"/>
  <c r="G102" i="20"/>
  <c r="Q141" i="1"/>
  <c r="Q133"/>
  <c r="R143"/>
  <c r="D17" i="21" l="1"/>
  <c r="D21" s="1"/>
  <c r="D23" s="1"/>
  <c r="P79" i="1"/>
  <c r="G17" i="21"/>
  <c r="O79" i="1" s="1"/>
  <c r="C11" i="21"/>
  <c r="C17" s="1"/>
  <c r="F11"/>
  <c r="F17" s="1"/>
  <c r="D36" l="1"/>
  <c r="D37" s="1"/>
  <c r="D47"/>
  <c r="D50" s="1"/>
  <c r="D51" s="1"/>
  <c r="P85" i="1" s="1"/>
  <c r="G21" i="21"/>
  <c r="O81" i="1" s="1"/>
  <c r="C21" i="21"/>
  <c r="C23" s="1"/>
  <c r="F21"/>
  <c r="F23" s="1"/>
  <c r="V142" i="1"/>
  <c r="G23" i="21" l="1"/>
  <c r="G47" s="1"/>
  <c r="G50" s="1"/>
  <c r="O85" i="1" s="1"/>
  <c r="D39" i="21"/>
  <c r="D40" s="1"/>
  <c r="P83" i="1"/>
  <c r="F36" i="21"/>
  <c r="F47"/>
  <c r="F50" s="1"/>
  <c r="F51" s="1"/>
  <c r="C36"/>
  <c r="C47"/>
  <c r="C50" s="1"/>
  <c r="C51" s="1"/>
  <c r="F37"/>
  <c r="F39" s="1"/>
  <c r="F60" s="1"/>
  <c r="F63" s="1"/>
  <c r="C37"/>
  <c r="C39" s="1"/>
  <c r="C60" s="1"/>
  <c r="C63" s="1"/>
  <c r="U98" i="1"/>
  <c r="T98"/>
  <c r="P98"/>
  <c r="O98"/>
  <c r="G36" i="21" l="1"/>
  <c r="G39" s="1"/>
  <c r="G60" s="1"/>
  <c r="G63" s="1"/>
  <c r="C40"/>
  <c r="F40"/>
  <c r="V177" i="1"/>
  <c r="R177"/>
  <c r="J72" i="20"/>
  <c r="V83" i="1"/>
  <c r="R84"/>
  <c r="V82"/>
  <c r="R82"/>
  <c r="Q82"/>
  <c r="G40" i="21" l="1"/>
  <c r="O83" i="1"/>
  <c r="O90" s="1"/>
  <c r="V84"/>
  <c r="Q177"/>
  <c r="Q84"/>
  <c r="R184" l="1"/>
  <c r="I110"/>
  <c r="E111"/>
  <c r="O106"/>
  <c r="L137"/>
  <c r="L136"/>
  <c r="L135"/>
  <c r="L132"/>
  <c r="L142"/>
  <c r="H136"/>
  <c r="F136" s="1"/>
  <c r="H135"/>
  <c r="F135" s="1"/>
  <c r="L107"/>
  <c r="F107"/>
  <c r="O107" s="1"/>
  <c r="W107" l="1"/>
  <c r="Q184"/>
  <c r="V184"/>
  <c r="O135"/>
  <c r="F142"/>
  <c r="O101"/>
  <c r="M74"/>
  <c r="I74"/>
  <c r="E74"/>
  <c r="W4"/>
  <c r="T2"/>
  <c r="Q3"/>
  <c r="P3"/>
  <c r="O3"/>
  <c r="O144" l="1"/>
  <c r="Q83"/>
  <c r="R83"/>
  <c r="P144"/>
  <c r="O142"/>
  <c r="W142"/>
  <c r="O132"/>
  <c r="V124"/>
  <c r="R124"/>
  <c r="F72" i="20" l="1"/>
  <c r="Q124" i="1"/>
  <c r="V44" l="1"/>
  <c r="R44"/>
  <c r="Q44"/>
  <c r="R142"/>
  <c r="Q142"/>
  <c r="C8" i="20"/>
  <c r="C9"/>
  <c r="C10"/>
  <c r="C11"/>
  <c r="C7"/>
  <c r="C16"/>
  <c r="C17"/>
  <c r="C18"/>
  <c r="C19"/>
  <c r="C15"/>
  <c r="C29"/>
  <c r="C30"/>
  <c r="C31"/>
  <c r="C32"/>
  <c r="C33"/>
  <c r="C34"/>
  <c r="C28"/>
  <c r="C39"/>
  <c r="C40"/>
  <c r="C38"/>
  <c r="C47"/>
  <c r="C46"/>
  <c r="C54"/>
  <c r="C55"/>
  <c r="C56"/>
  <c r="C57"/>
  <c r="C58"/>
  <c r="C53"/>
  <c r="C63"/>
  <c r="C64"/>
  <c r="C65"/>
  <c r="C66"/>
  <c r="C62"/>
  <c r="C79"/>
  <c r="C80"/>
  <c r="C81"/>
  <c r="C82"/>
  <c r="C83"/>
  <c r="C84"/>
  <c r="C78"/>
  <c r="C89"/>
  <c r="C90"/>
  <c r="C91"/>
  <c r="C92"/>
  <c r="C93"/>
  <c r="C88"/>
  <c r="C100"/>
  <c r="C101"/>
  <c r="C103"/>
  <c r="C99"/>
  <c r="O128" i="1"/>
  <c r="O125"/>
  <c r="O121"/>
  <c r="P87"/>
  <c r="E72" i="20" l="1"/>
  <c r="V173" i="1"/>
  <c r="P179" l="1"/>
  <c r="J99" i="20" l="1"/>
  <c r="I99"/>
  <c r="F99"/>
  <c r="R173" i="1"/>
  <c r="E99" i="20" l="1"/>
  <c r="Q173" i="1"/>
  <c r="P26" l="1"/>
  <c r="P27"/>
  <c r="P147"/>
  <c r="P159"/>
  <c r="P168"/>
  <c r="P129"/>
  <c r="P90"/>
  <c r="P103"/>
  <c r="P108"/>
  <c r="P118"/>
  <c r="P74"/>
  <c r="P66"/>
  <c r="P54"/>
  <c r="P20"/>
  <c r="P47"/>
  <c r="I144" l="1"/>
  <c r="F71" i="20"/>
  <c r="P169" i="1"/>
  <c r="I3" i="20"/>
  <c r="J9" l="1"/>
  <c r="J10"/>
  <c r="I9"/>
  <c r="I10"/>
  <c r="E57"/>
  <c r="F57"/>
  <c r="I57"/>
  <c r="J57"/>
  <c r="J73"/>
  <c r="I73"/>
  <c r="F73"/>
  <c r="G57" l="1"/>
  <c r="K57"/>
  <c r="V63" i="1"/>
  <c r="R63"/>
  <c r="Q63" l="1"/>
  <c r="E33" i="20" l="1"/>
  <c r="F33"/>
  <c r="I33"/>
  <c r="J33"/>
  <c r="V116" i="1"/>
  <c r="R116"/>
  <c r="Q116"/>
  <c r="U103"/>
  <c r="T103"/>
  <c r="O103"/>
  <c r="V102"/>
  <c r="R102"/>
  <c r="Q102"/>
  <c r="V101"/>
  <c r="R101"/>
  <c r="Q101"/>
  <c r="H101"/>
  <c r="R103" l="1"/>
  <c r="V103"/>
  <c r="K33" i="20"/>
  <c r="G33"/>
  <c r="Q103" i="1"/>
  <c r="Q178"/>
  <c r="Q176"/>
  <c r="Q175"/>
  <c r="Q167"/>
  <c r="Q166"/>
  <c r="Q165"/>
  <c r="Q164"/>
  <c r="Q163"/>
  <c r="Q162"/>
  <c r="Q158"/>
  <c r="Q157"/>
  <c r="Q156"/>
  <c r="Q155"/>
  <c r="Q154"/>
  <c r="Q153"/>
  <c r="Q152"/>
  <c r="Q146"/>
  <c r="Q140"/>
  <c r="Q138"/>
  <c r="Q128"/>
  <c r="Q127"/>
  <c r="Q126"/>
  <c r="Q122"/>
  <c r="Q121"/>
  <c r="Q117"/>
  <c r="Q115"/>
  <c r="Q114"/>
  <c r="Q113"/>
  <c r="Q112"/>
  <c r="Q107"/>
  <c r="Q97"/>
  <c r="Q93"/>
  <c r="Q98" s="1"/>
  <c r="Q89"/>
  <c r="Q87"/>
  <c r="Q86"/>
  <c r="Q85"/>
  <c r="Q81"/>
  <c r="Q80"/>
  <c r="Q79"/>
  <c r="Q71"/>
  <c r="Q70"/>
  <c r="Q69"/>
  <c r="Q62"/>
  <c r="Q61"/>
  <c r="Q56"/>
  <c r="Q53"/>
  <c r="Q52"/>
  <c r="Q49"/>
  <c r="Q45"/>
  <c r="Q43"/>
  <c r="Q38"/>
  <c r="Q37"/>
  <c r="Q36"/>
  <c r="Q35"/>
  <c r="Q34"/>
  <c r="Q159" l="1"/>
  <c r="Q168"/>
  <c r="Q54"/>
  <c r="Q179"/>
  <c r="Q90"/>
  <c r="Q169" l="1"/>
  <c r="Q132" l="1"/>
  <c r="R38"/>
  <c r="V38"/>
  <c r="G4" i="20" l="1"/>
  <c r="F4"/>
  <c r="E4"/>
  <c r="J4"/>
  <c r="I4"/>
  <c r="V49" i="1"/>
  <c r="R49"/>
  <c r="J43" i="20"/>
  <c r="I43"/>
  <c r="F43"/>
  <c r="E43"/>
  <c r="G43" l="1"/>
  <c r="K43"/>
  <c r="J103" l="1"/>
  <c r="J100"/>
  <c r="J93"/>
  <c r="J92"/>
  <c r="J91"/>
  <c r="J90"/>
  <c r="J89"/>
  <c r="J88"/>
  <c r="J84"/>
  <c r="J83"/>
  <c r="J82"/>
  <c r="J81"/>
  <c r="J80"/>
  <c r="J79"/>
  <c r="J78"/>
  <c r="J66"/>
  <c r="J65"/>
  <c r="J64"/>
  <c r="J63"/>
  <c r="J62"/>
  <c r="J58"/>
  <c r="J56"/>
  <c r="J55"/>
  <c r="J50"/>
  <c r="J47"/>
  <c r="J46"/>
  <c r="J40"/>
  <c r="J39"/>
  <c r="J38"/>
  <c r="J34"/>
  <c r="J32"/>
  <c r="J30"/>
  <c r="J29"/>
  <c r="J28"/>
  <c r="J24"/>
  <c r="J15"/>
  <c r="J11"/>
  <c r="J8"/>
  <c r="J7"/>
  <c r="J109" s="1"/>
  <c r="I101"/>
  <c r="I100"/>
  <c r="I93"/>
  <c r="I92"/>
  <c r="I91"/>
  <c r="I90"/>
  <c r="I89"/>
  <c r="I88"/>
  <c r="I84"/>
  <c r="I83"/>
  <c r="I82"/>
  <c r="I81"/>
  <c r="I80"/>
  <c r="I79"/>
  <c r="I78"/>
  <c r="I66"/>
  <c r="I65"/>
  <c r="I64"/>
  <c r="I63"/>
  <c r="I62"/>
  <c r="I58"/>
  <c r="I56"/>
  <c r="I55"/>
  <c r="I50"/>
  <c r="I47"/>
  <c r="I46"/>
  <c r="I40"/>
  <c r="I39"/>
  <c r="I38"/>
  <c r="I34"/>
  <c r="I32"/>
  <c r="I31"/>
  <c r="I30"/>
  <c r="I29"/>
  <c r="I28"/>
  <c r="I24"/>
  <c r="I19"/>
  <c r="I18"/>
  <c r="I16"/>
  <c r="I15"/>
  <c r="I11"/>
  <c r="I8"/>
  <c r="I7"/>
  <c r="I109" s="1"/>
  <c r="V87" i="1"/>
  <c r="R87"/>
  <c r="K109" i="20" l="1"/>
  <c r="J48"/>
  <c r="I85"/>
  <c r="I35"/>
  <c r="I12"/>
  <c r="I41"/>
  <c r="J85"/>
  <c r="J94"/>
  <c r="I48"/>
  <c r="I94"/>
  <c r="J12"/>
  <c r="J41"/>
  <c r="I95" l="1"/>
  <c r="J95"/>
  <c r="V127" i="1"/>
  <c r="R127"/>
  <c r="Q7"/>
  <c r="Q72"/>
  <c r="Q73"/>
  <c r="Q60"/>
  <c r="Q65"/>
  <c r="Q59"/>
  <c r="Q46"/>
  <c r="Q39"/>
  <c r="V81"/>
  <c r="R81"/>
  <c r="Q74" l="1"/>
  <c r="Q47"/>
  <c r="Q66"/>
  <c r="F29" i="20"/>
  <c r="F30"/>
  <c r="F31"/>
  <c r="F32"/>
  <c r="F34"/>
  <c r="F38"/>
  <c r="F39"/>
  <c r="F40"/>
  <c r="F46"/>
  <c r="F47"/>
  <c r="F50"/>
  <c r="F53"/>
  <c r="F54"/>
  <c r="F55"/>
  <c r="F56"/>
  <c r="F58"/>
  <c r="F62"/>
  <c r="F63"/>
  <c r="F64"/>
  <c r="F65"/>
  <c r="F66"/>
  <c r="F78"/>
  <c r="F79"/>
  <c r="F80"/>
  <c r="F81"/>
  <c r="F82"/>
  <c r="F83"/>
  <c r="F84"/>
  <c r="F88"/>
  <c r="F89"/>
  <c r="F90"/>
  <c r="F91"/>
  <c r="F92"/>
  <c r="F93"/>
  <c r="F100"/>
  <c r="F101"/>
  <c r="F103"/>
  <c r="F15"/>
  <c r="F16"/>
  <c r="F17"/>
  <c r="F18"/>
  <c r="F19"/>
  <c r="F7"/>
  <c r="F109" s="1"/>
  <c r="O139" i="1"/>
  <c r="E73" i="20" l="1"/>
  <c r="Q139" i="1"/>
  <c r="F41" i="20"/>
  <c r="F104"/>
  <c r="F59"/>
  <c r="F67"/>
  <c r="F48"/>
  <c r="F85"/>
  <c r="F94"/>
  <c r="F95" l="1"/>
  <c r="E103" l="1"/>
  <c r="G103" s="1"/>
  <c r="E101"/>
  <c r="G101" s="1"/>
  <c r="E100"/>
  <c r="E92"/>
  <c r="E91"/>
  <c r="E90"/>
  <c r="E89"/>
  <c r="E88"/>
  <c r="E79"/>
  <c r="E80"/>
  <c r="E81"/>
  <c r="G81" s="1"/>
  <c r="E82"/>
  <c r="E83"/>
  <c r="E84"/>
  <c r="E78"/>
  <c r="E66"/>
  <c r="E65"/>
  <c r="E64"/>
  <c r="E63"/>
  <c r="E62"/>
  <c r="E58"/>
  <c r="E56"/>
  <c r="E54"/>
  <c r="E53"/>
  <c r="E50"/>
  <c r="E47"/>
  <c r="E46"/>
  <c r="E40"/>
  <c r="E39"/>
  <c r="E38"/>
  <c r="E29"/>
  <c r="E30"/>
  <c r="E31"/>
  <c r="E32"/>
  <c r="E34"/>
  <c r="K93"/>
  <c r="G19"/>
  <c r="G18"/>
  <c r="G16"/>
  <c r="K10"/>
  <c r="E48" l="1"/>
  <c r="G40"/>
  <c r="G54"/>
  <c r="K11"/>
  <c r="G91"/>
  <c r="G79"/>
  <c r="G83"/>
  <c r="G38"/>
  <c r="G39"/>
  <c r="G58"/>
  <c r="G100"/>
  <c r="E85"/>
  <c r="E104"/>
  <c r="G89"/>
  <c r="G80"/>
  <c r="G84"/>
  <c r="G90"/>
  <c r="G88"/>
  <c r="G92"/>
  <c r="G82"/>
  <c r="G29"/>
  <c r="G34"/>
  <c r="G65"/>
  <c r="G50"/>
  <c r="G30"/>
  <c r="G56"/>
  <c r="G66"/>
  <c r="K30"/>
  <c r="G47"/>
  <c r="G63"/>
  <c r="E67"/>
  <c r="E41"/>
  <c r="G64"/>
  <c r="G32"/>
  <c r="G31"/>
  <c r="K8"/>
  <c r="G99"/>
  <c r="G46"/>
  <c r="K84"/>
  <c r="K32"/>
  <c r="F20"/>
  <c r="G53"/>
  <c r="G17"/>
  <c r="G78"/>
  <c r="G62"/>
  <c r="E55"/>
  <c r="G55" s="1"/>
  <c r="G48" l="1"/>
  <c r="G104"/>
  <c r="E59"/>
  <c r="G67"/>
  <c r="G41"/>
  <c r="G85"/>
  <c r="G59" l="1"/>
  <c r="E93" l="1"/>
  <c r="E94" l="1"/>
  <c r="E95" s="1"/>
  <c r="G95" s="1"/>
  <c r="G93"/>
  <c r="V140" i="1"/>
  <c r="R140"/>
  <c r="G94" i="20" l="1"/>
  <c r="G73"/>
  <c r="H126" i="1"/>
  <c r="H106"/>
  <c r="O19"/>
  <c r="O18"/>
  <c r="O17"/>
  <c r="O16"/>
  <c r="E15" i="20" l="1"/>
  <c r="G15" s="1"/>
  <c r="Q15" i="1"/>
  <c r="E16" i="20"/>
  <c r="Q16" i="1"/>
  <c r="E17" i="20"/>
  <c r="Q17" i="1"/>
  <c r="E18" i="20"/>
  <c r="Q18" i="1"/>
  <c r="E19" i="20"/>
  <c r="Q19" i="1"/>
  <c r="Q135" l="1"/>
  <c r="E20" i="20"/>
  <c r="G20" s="1"/>
  <c r="Q20" i="1"/>
  <c r="E7" i="20"/>
  <c r="E109" s="1"/>
  <c r="D148" i="1"/>
  <c r="G109" i="20" l="1"/>
  <c r="G7"/>
  <c r="Q125" i="1" l="1"/>
  <c r="Q123"/>
  <c r="Q129" l="1"/>
  <c r="Q111"/>
  <c r="Q118" s="1"/>
  <c r="Q106"/>
  <c r="Q108" s="1"/>
  <c r="O27" l="1"/>
  <c r="Q27" s="1"/>
  <c r="O26"/>
  <c r="Q26" s="1"/>
  <c r="K9" i="20" l="1"/>
  <c r="K55"/>
  <c r="K24"/>
  <c r="J53"/>
  <c r="J54"/>
  <c r="J101"/>
  <c r="K101" s="1"/>
  <c r="I67"/>
  <c r="I53"/>
  <c r="I54"/>
  <c r="I17"/>
  <c r="I20" s="1"/>
  <c r="I21" s="1"/>
  <c r="I103"/>
  <c r="K103" s="1"/>
  <c r="K54" l="1"/>
  <c r="I104"/>
  <c r="I59"/>
  <c r="I68" s="1"/>
  <c r="J67"/>
  <c r="J59"/>
  <c r="K53"/>
  <c r="J104"/>
  <c r="K99"/>
  <c r="K7"/>
  <c r="K12"/>
  <c r="K100" l="1"/>
  <c r="K104"/>
  <c r="K89"/>
  <c r="K81"/>
  <c r="K88" l="1"/>
  <c r="K15"/>
  <c r="K58"/>
  <c r="K82"/>
  <c r="K90"/>
  <c r="K40"/>
  <c r="K50"/>
  <c r="K29"/>
  <c r="K92"/>
  <c r="K91"/>
  <c r="K83"/>
  <c r="K80"/>
  <c r="K79"/>
  <c r="K34"/>
  <c r="K66"/>
  <c r="K65"/>
  <c r="K64"/>
  <c r="K63"/>
  <c r="K47"/>
  <c r="K39"/>
  <c r="K94" l="1"/>
  <c r="K78"/>
  <c r="K67"/>
  <c r="K62"/>
  <c r="K56"/>
  <c r="K59"/>
  <c r="K48"/>
  <c r="K46"/>
  <c r="K38"/>
  <c r="K28"/>
  <c r="J31"/>
  <c r="J19"/>
  <c r="K19" s="1"/>
  <c r="J17"/>
  <c r="K17" s="1"/>
  <c r="J18"/>
  <c r="K18" s="1"/>
  <c r="J16"/>
  <c r="K72" l="1"/>
  <c r="J35"/>
  <c r="J68" s="1"/>
  <c r="K31"/>
  <c r="J20"/>
  <c r="K16"/>
  <c r="K95"/>
  <c r="K85"/>
  <c r="K73"/>
  <c r="K35" l="1"/>
  <c r="J21"/>
  <c r="K21" s="1"/>
  <c r="K20"/>
  <c r="K41" l="1"/>
  <c r="K68"/>
  <c r="U54" i="1" l="1"/>
  <c r="T54"/>
  <c r="O54"/>
  <c r="V53"/>
  <c r="R53"/>
  <c r="V52"/>
  <c r="R52"/>
  <c r="V54" l="1"/>
  <c r="R54"/>
  <c r="R111" l="1"/>
  <c r="R178"/>
  <c r="R176"/>
  <c r="R175"/>
  <c r="R167"/>
  <c r="R166"/>
  <c r="R165"/>
  <c r="R164"/>
  <c r="R163"/>
  <c r="R162"/>
  <c r="R158"/>
  <c r="R157"/>
  <c r="R156"/>
  <c r="R155"/>
  <c r="R154"/>
  <c r="R153"/>
  <c r="R152"/>
  <c r="R146"/>
  <c r="R139"/>
  <c r="R138"/>
  <c r="R135"/>
  <c r="R128"/>
  <c r="R123"/>
  <c r="R122"/>
  <c r="R121"/>
  <c r="R117"/>
  <c r="R115"/>
  <c r="R114"/>
  <c r="R113"/>
  <c r="R112"/>
  <c r="R107"/>
  <c r="R106"/>
  <c r="R97"/>
  <c r="R93"/>
  <c r="R89"/>
  <c r="R86"/>
  <c r="R80"/>
  <c r="R73"/>
  <c r="R72"/>
  <c r="R71"/>
  <c r="R70"/>
  <c r="R69"/>
  <c r="R65"/>
  <c r="R62"/>
  <c r="R61"/>
  <c r="R60"/>
  <c r="R59"/>
  <c r="R56"/>
  <c r="R46"/>
  <c r="R45"/>
  <c r="R43"/>
  <c r="R39"/>
  <c r="R37"/>
  <c r="R36"/>
  <c r="R35"/>
  <c r="R34"/>
  <c r="R19"/>
  <c r="R18"/>
  <c r="R17"/>
  <c r="R16"/>
  <c r="R15"/>
  <c r="R7"/>
  <c r="V7"/>
  <c r="V178"/>
  <c r="V176"/>
  <c r="V175"/>
  <c r="V167"/>
  <c r="V166"/>
  <c r="V165"/>
  <c r="V164"/>
  <c r="V163"/>
  <c r="V162"/>
  <c r="V158"/>
  <c r="V157"/>
  <c r="V156"/>
  <c r="V155"/>
  <c r="V154"/>
  <c r="V153"/>
  <c r="V152"/>
  <c r="V146"/>
  <c r="V145"/>
  <c r="V144"/>
  <c r="V139"/>
  <c r="V138"/>
  <c r="V135"/>
  <c r="V128"/>
  <c r="V123"/>
  <c r="V122"/>
  <c r="V121"/>
  <c r="V117"/>
  <c r="V115"/>
  <c r="V114"/>
  <c r="V113"/>
  <c r="V112"/>
  <c r="V111"/>
  <c r="V107"/>
  <c r="V106"/>
  <c r="V97"/>
  <c r="V93"/>
  <c r="V89"/>
  <c r="V86"/>
  <c r="V85"/>
  <c r="V80"/>
  <c r="V73"/>
  <c r="V72"/>
  <c r="V71"/>
  <c r="V70"/>
  <c r="V69"/>
  <c r="V65"/>
  <c r="V62"/>
  <c r="V61"/>
  <c r="V60"/>
  <c r="V59"/>
  <c r="V56"/>
  <c r="V46"/>
  <c r="V45"/>
  <c r="V43"/>
  <c r="V39"/>
  <c r="V37"/>
  <c r="V36"/>
  <c r="V35"/>
  <c r="V34"/>
  <c r="V33"/>
  <c r="V29"/>
  <c r="V19"/>
  <c r="V18"/>
  <c r="V17"/>
  <c r="V16"/>
  <c r="V15"/>
  <c r="V11"/>
  <c r="V10"/>
  <c r="V9"/>
  <c r="V8"/>
  <c r="U12"/>
  <c r="U20"/>
  <c r="U40"/>
  <c r="U47"/>
  <c r="U66"/>
  <c r="U74"/>
  <c r="U108"/>
  <c r="U118"/>
  <c r="U147"/>
  <c r="U159"/>
  <c r="U168"/>
  <c r="U179"/>
  <c r="T179"/>
  <c r="T168"/>
  <c r="T159"/>
  <c r="T147"/>
  <c r="T129"/>
  <c r="T118"/>
  <c r="T108"/>
  <c r="T90"/>
  <c r="T74"/>
  <c r="T66"/>
  <c r="T47"/>
  <c r="T40"/>
  <c r="T20"/>
  <c r="T12"/>
  <c r="O179"/>
  <c r="O168"/>
  <c r="O159"/>
  <c r="O118"/>
  <c r="O108"/>
  <c r="O74"/>
  <c r="O66"/>
  <c r="O47"/>
  <c r="O20"/>
  <c r="I71" i="20" l="1"/>
  <c r="I74" s="1"/>
  <c r="U75" i="1"/>
  <c r="T75"/>
  <c r="R66"/>
  <c r="R74"/>
  <c r="R108"/>
  <c r="R20"/>
  <c r="T21"/>
  <c r="R179"/>
  <c r="R168"/>
  <c r="V108"/>
  <c r="V66"/>
  <c r="V20"/>
  <c r="R47"/>
  <c r="R118"/>
  <c r="V47"/>
  <c r="V147"/>
  <c r="V12"/>
  <c r="R159"/>
  <c r="V179"/>
  <c r="V159"/>
  <c r="V168"/>
  <c r="V118"/>
  <c r="V74"/>
  <c r="V40"/>
  <c r="U169"/>
  <c r="U21"/>
  <c r="T169"/>
  <c r="O169"/>
  <c r="I106" i="20" l="1"/>
  <c r="V21" i="1"/>
  <c r="R169"/>
  <c r="V75"/>
  <c r="V169"/>
  <c r="I107" i="20" l="1"/>
  <c r="I110"/>
  <c r="I111" s="1"/>
  <c r="R132" i="1"/>
  <c r="R79" l="1"/>
  <c r="R85" l="1"/>
  <c r="E144"/>
  <c r="R90" l="1"/>
  <c r="U90" l="1"/>
  <c r="V79"/>
  <c r="V90" l="1"/>
  <c r="R126" l="1"/>
  <c r="R125"/>
  <c r="O129"/>
  <c r="E71" i="20" l="1"/>
  <c r="R129" i="1"/>
  <c r="G71" i="20" l="1"/>
  <c r="V126" i="1"/>
  <c r="Q145" l="1"/>
  <c r="R145"/>
  <c r="F74" i="20"/>
  <c r="U129" i="1"/>
  <c r="J71" i="20" s="1"/>
  <c r="V125" i="1"/>
  <c r="K71" i="20" l="1"/>
  <c r="J74"/>
  <c r="V129" i="1"/>
  <c r="J106" i="20" l="1"/>
  <c r="K74"/>
  <c r="J107" l="1"/>
  <c r="K107" s="1"/>
  <c r="J110"/>
  <c r="K106"/>
  <c r="E8"/>
  <c r="E9"/>
  <c r="E10"/>
  <c r="O12" i="1"/>
  <c r="O21" s="1"/>
  <c r="E11" i="20"/>
  <c r="K110" l="1"/>
  <c r="J111"/>
  <c r="K111" s="1"/>
  <c r="E12"/>
  <c r="E21" s="1"/>
  <c r="O25" i="1"/>
  <c r="O28" l="1"/>
  <c r="O29" l="1"/>
  <c r="E24" i="20" l="1"/>
  <c r="R10" i="1"/>
  <c r="F10" i="20"/>
  <c r="G10" s="1"/>
  <c r="Q10" i="1"/>
  <c r="R11"/>
  <c r="Q11"/>
  <c r="F11" i="20"/>
  <c r="G11" s="1"/>
  <c r="R8" i="1"/>
  <c r="F8" i="20"/>
  <c r="G8" s="1"/>
  <c r="Q8" i="1"/>
  <c r="R9"/>
  <c r="F9" i="20"/>
  <c r="G9" s="1"/>
  <c r="P12" i="1"/>
  <c r="R12" s="1"/>
  <c r="Q9"/>
  <c r="Q12" l="1"/>
  <c r="Q21" s="1"/>
  <c r="F12" i="20"/>
  <c r="P21" i="1"/>
  <c r="R21" l="1"/>
  <c r="P25"/>
  <c r="F21" i="20"/>
  <c r="G12"/>
  <c r="G21" l="1"/>
  <c r="Q25" i="1"/>
  <c r="P28"/>
  <c r="Q28" l="1"/>
  <c r="Q29" s="1"/>
  <c r="P29"/>
  <c r="R29" l="1"/>
  <c r="F24" i="20"/>
  <c r="G24" l="1"/>
  <c r="O40" i="1"/>
  <c r="O75" s="1"/>
  <c r="E28" i="20"/>
  <c r="E35" s="1"/>
  <c r="E68" s="1"/>
  <c r="R33" i="1"/>
  <c r="F28" i="20"/>
  <c r="F35" s="1"/>
  <c r="P40" i="1"/>
  <c r="Q33"/>
  <c r="Q40" s="1"/>
  <c r="Q75" s="1"/>
  <c r="R40" l="1"/>
  <c r="G35" i="20"/>
  <c r="P75" i="1"/>
  <c r="R75" s="1"/>
  <c r="G28" i="20"/>
  <c r="F68"/>
  <c r="G68" l="1"/>
  <c r="F106"/>
  <c r="F110" s="1"/>
  <c r="F111" l="1"/>
  <c r="F107"/>
  <c r="R98" i="1"/>
  <c r="P148"/>
  <c r="P181" l="1"/>
  <c r="P185" s="1"/>
  <c r="R144"/>
  <c r="Q144"/>
  <c r="Q147" s="1"/>
  <c r="O147"/>
  <c r="P182" l="1"/>
  <c r="O148"/>
  <c r="R147"/>
  <c r="P186"/>
  <c r="G72" i="20"/>
  <c r="E74"/>
  <c r="E106" l="1"/>
  <c r="G74"/>
  <c r="O181" i="1"/>
  <c r="R148"/>
  <c r="O182" l="1"/>
  <c r="R182" s="1"/>
  <c r="O185"/>
  <c r="R181"/>
  <c r="E110" i="20"/>
  <c r="E107"/>
  <c r="G106"/>
  <c r="E111" l="1"/>
  <c r="G111" s="1"/>
  <c r="G110"/>
  <c r="Q185" i="1"/>
  <c r="O186"/>
  <c r="R185"/>
  <c r="Q186" l="1"/>
  <c r="R186"/>
  <c r="Q148"/>
  <c r="Q181" s="1"/>
  <c r="Q182" s="1"/>
  <c r="T148"/>
  <c r="T181" s="1"/>
  <c r="T185" l="1"/>
  <c r="T186" s="1"/>
  <c r="T182"/>
  <c r="V98"/>
  <c r="U148"/>
  <c r="U181" l="1"/>
  <c r="V181" s="1"/>
  <c r="V148"/>
  <c r="U185" l="1"/>
  <c r="V185" s="1"/>
  <c r="U182"/>
  <c r="V182" s="1"/>
  <c r="U186" l="1"/>
  <c r="V186" s="1"/>
  <c r="E5" i="21"/>
  <c r="E6" s="1"/>
  <c r="E11" s="1"/>
  <c r="E17" s="1"/>
  <c r="E21" l="1"/>
  <c r="E23" s="1"/>
  <c r="E36" l="1"/>
  <c r="E37" s="1"/>
  <c r="E39" s="1"/>
  <c r="E47"/>
  <c r="E50" s="1"/>
  <c r="E51" s="1"/>
  <c r="E40" l="1"/>
  <c r="E60"/>
  <c r="E63" s="1"/>
</calcChain>
</file>

<file path=xl/comments1.xml><?xml version="1.0" encoding="utf-8"?>
<comments xmlns="http://schemas.openxmlformats.org/spreadsheetml/2006/main">
  <authors>
    <author>Dawn Jacobson</author>
  </authors>
  <commentList>
    <comment ref="G8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Excludes Intern and Parish/Fin Secretary positions for 2019 estimate as these are new people
</t>
        </r>
      </text>
    </comment>
  </commentList>
</comments>
</file>

<file path=xl/comments2.xml><?xml version="1.0" encoding="utf-8"?>
<comments xmlns="http://schemas.openxmlformats.org/spreadsheetml/2006/main">
  <authors>
    <author>Dawn Jacobson</author>
  </authors>
  <commentList>
    <comment ref="D3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Should have been $7,681.  The $8,015 is full year annual cost.  Should have been reduced as Pastor did not work a full year.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<sst xmlns="http://schemas.openxmlformats.org/spreadsheetml/2006/main" count="414" uniqueCount="324">
  <si>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</si>
  <si>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</si>
  <si>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</si>
  <si>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</si>
  <si>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</si>
  <si>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</si>
  <si>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</si>
  <si>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</si>
  <si>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</si>
  <si>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</si>
  <si>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</si>
  <si>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</si>
  <si>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</si>
  <si>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</si>
  <si>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</si>
  <si>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</si>
  <si>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</si>
  <si>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</si>
  <si>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</si>
  <si>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Library</t>
  </si>
  <si>
    <t>First Communion</t>
  </si>
  <si>
    <t>Total Parish Ed</t>
  </si>
  <si>
    <t>Worship Supplies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</si>
  <si>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</si>
  <si>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</si>
  <si>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</si>
  <si>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</si>
  <si>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</si>
  <si>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</si>
  <si>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</si>
  <si>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</si>
  <si>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</si>
  <si>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</si>
  <si>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</si>
  <si>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</si>
  <si>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</si>
  <si>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</si>
  <si>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</si>
  <si>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</si>
  <si>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</si>
  <si>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</si>
  <si>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</si>
  <si>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</si>
  <si>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</si>
  <si>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</si>
  <si>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</si>
  <si>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</si>
  <si>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</si>
  <si>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</si>
  <si>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</si>
  <si>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</si>
  <si>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</si>
  <si>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</si>
  <si>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</si>
  <si>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</si>
  <si>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</si>
  <si>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</si>
  <si>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</si>
  <si>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</si>
  <si>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</si>
  <si>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</si>
  <si>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</si>
  <si>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</si>
  <si>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</si>
  <si>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</si>
  <si>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</si>
  <si>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</si>
  <si>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</si>
  <si>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</si>
  <si>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</si>
  <si>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</si>
  <si>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</si>
  <si>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</si>
  <si>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</si>
  <si>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</si>
  <si>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</si>
  <si>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</si>
  <si>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</si>
  <si>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</si>
  <si>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</si>
  <si>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</si>
  <si>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</si>
  <si>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</si>
  <si>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</si>
  <si>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</si>
  <si>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</si>
  <si>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</si>
  <si>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</si>
  <si>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</si>
  <si>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</si>
  <si>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</si>
  <si>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</si>
  <si>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</si>
  <si>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TOTAL PROGRAMS</t>
  </si>
  <si>
    <t>Total Church Membership</t>
  </si>
  <si>
    <t>Sunday Coffee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</si>
  <si>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</si>
  <si>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</si>
  <si>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</si>
  <si>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</si>
  <si>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</si>
  <si>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</si>
  <si>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Maint.  Supplies</t>
  </si>
  <si>
    <t>Salary Calc Estimate</t>
  </si>
  <si>
    <t>Staff Contingency</t>
  </si>
  <si>
    <t>Maintenance Contracts</t>
  </si>
  <si>
    <t>Other Benefits and taxes</t>
  </si>
  <si>
    <t>Non Staff costs</t>
  </si>
  <si>
    <t>Increase for Staff</t>
  </si>
  <si>
    <t>Increase for Music</t>
  </si>
  <si>
    <t>Total Staff</t>
  </si>
  <si>
    <t>City Assessment</t>
  </si>
  <si>
    <t>Tax Allowance</t>
  </si>
  <si>
    <t>Youth Choir Accompianist</t>
  </si>
  <si>
    <t>Business Expenses</t>
  </si>
  <si>
    <t>Adult Education</t>
  </si>
  <si>
    <t>Director of Traditional Worship</t>
  </si>
  <si>
    <t>Flutist and Extra Music</t>
  </si>
  <si>
    <t>Total adjusted Expected Income</t>
  </si>
  <si>
    <t>Misc Expenses</t>
  </si>
  <si>
    <t>$</t>
  </si>
  <si>
    <t>%</t>
  </si>
  <si>
    <t xml:space="preserve"> 2017 Budget Notes</t>
  </si>
  <si>
    <t>Deacon</t>
  </si>
  <si>
    <t>Projectionist</t>
  </si>
  <si>
    <t>Organ/Piano Maintenance</t>
  </si>
  <si>
    <t>Same as last year</t>
  </si>
  <si>
    <t>Sames as last year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</si>
  <si>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</si>
  <si>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</si>
  <si>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</si>
  <si>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</si>
  <si>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</si>
  <si>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</si>
  <si>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</si>
  <si>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</si>
  <si>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</si>
  <si>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</si>
  <si>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</si>
  <si>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</si>
  <si>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</si>
  <si>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</si>
  <si>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</si>
  <si>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</si>
  <si>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</si>
  <si>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</si>
  <si>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</si>
  <si>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</si>
  <si>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</si>
  <si>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</si>
  <si>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</si>
  <si>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</si>
  <si>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</si>
  <si>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</si>
  <si>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</si>
  <si>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</si>
  <si>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</si>
  <si>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</si>
  <si>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</si>
  <si>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</si>
  <si>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</si>
  <si>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</si>
  <si>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</si>
  <si>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</si>
  <si>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</si>
  <si>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</si>
  <si>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</si>
  <si>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</si>
  <si>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>Facilities Fund Reserve</t>
  </si>
  <si>
    <t>Worship</t>
  </si>
  <si>
    <t>Total Worship</t>
  </si>
  <si>
    <t>Total Deacon</t>
  </si>
  <si>
    <t>Senior Pastor</t>
  </si>
  <si>
    <t>Total Senior Pastor</t>
  </si>
  <si>
    <t>Facilities Maintenance</t>
  </si>
  <si>
    <t>Holden and Hymn Services</t>
  </si>
  <si>
    <t>As requested.</t>
  </si>
  <si>
    <t>Operating Expenses</t>
  </si>
  <si>
    <t>Band Subs</t>
  </si>
  <si>
    <t>Dori Rossmann</t>
  </si>
  <si>
    <t>J. Sodke</t>
  </si>
  <si>
    <t>J. Sensig</t>
  </si>
  <si>
    <t>Dee Bliss</t>
  </si>
  <si>
    <t>Lynette Jacobson</t>
  </si>
  <si>
    <t>Chuck Petrach</t>
  </si>
  <si>
    <t>% chg</t>
  </si>
  <si>
    <t>Avg Hrs/Wk</t>
  </si>
  <si>
    <t>$/hr</t>
  </si>
  <si>
    <t>Hourly</t>
  </si>
  <si>
    <t>Budget Year</t>
  </si>
  <si>
    <t># Wk/Yr</t>
  </si>
  <si>
    <t>$200/Sunday for 10 weeks</t>
  </si>
  <si>
    <t>Parish Secretary</t>
  </si>
  <si>
    <t>Target is to have expenses no greater than the estimated envelope giving.</t>
  </si>
  <si>
    <t>Director of Youth Ministry</t>
  </si>
  <si>
    <t>Lead Pastor</t>
  </si>
  <si>
    <t>Operating Income (Envelope Giving)</t>
  </si>
  <si>
    <t>Net Operating Income/(Loss)</t>
  </si>
  <si>
    <t>2018:  Lower per Deacon Janice's recommendation (email 11/14/17)</t>
  </si>
  <si>
    <t>Need to add this back</t>
  </si>
  <si>
    <t>Housing</t>
  </si>
  <si>
    <t>Elected</t>
  </si>
  <si>
    <t>Total</t>
  </si>
  <si>
    <t>Per Compensation Package</t>
  </si>
  <si>
    <t xml:space="preserve">Per Compensation Package.     </t>
  </si>
  <si>
    <t>Pension</t>
  </si>
  <si>
    <t>Other Insurance</t>
  </si>
  <si>
    <t>Medical &amp; Dental Insurance</t>
  </si>
  <si>
    <t>Disability</t>
  </si>
  <si>
    <t>Group Life</t>
  </si>
  <si>
    <t>Retiree</t>
  </si>
  <si>
    <t>For 2018, Pastor Pahl has choosen to waive both Medical and Dental coverage.</t>
  </si>
  <si>
    <t>Medical/Dental premium
     Allowance</t>
  </si>
  <si>
    <t>Synod COLA</t>
  </si>
  <si>
    <t>Disability, Group Life, and Retiree Support</t>
  </si>
  <si>
    <t>Salary and Housing</t>
  </si>
  <si>
    <t>J. Nelson plus others.</t>
  </si>
  <si>
    <t>2017 was 11% for Pension, in 2018 it is 12% plus Disability, Basic Group Life and Retiree Support.</t>
  </si>
  <si>
    <t>% of Year</t>
  </si>
  <si>
    <t>Insurance Provision</t>
  </si>
  <si>
    <t>Operating Expenses unexpectedly exceed Income (Income shortfall).  Finance Committee approves and takes recommendation to the Excutive Council.</t>
  </si>
  <si>
    <t>Unforeseen Health Care changes.  Finance Committee Approves and takes recommendation to the Executive Council.</t>
  </si>
  <si>
    <t>Supply Pastor(s)</t>
  </si>
  <si>
    <t>Total Supply Pastor(s)</t>
  </si>
  <si>
    <t>Staff Salary and Wages*</t>
  </si>
  <si>
    <t>*    Includes salary increases which will be distributed based on annual performance reviews.</t>
  </si>
  <si>
    <t>2018:  75% Deacon plus 2% and 25% Lead Pastor Salary</t>
  </si>
  <si>
    <t>Sept YTD Actual</t>
  </si>
  <si>
    <t>Sept YTD Budget</t>
  </si>
  <si>
    <t>Internship</t>
  </si>
  <si>
    <t>Parish/Finance Secretary</t>
  </si>
  <si>
    <t>Communications Secretary</t>
  </si>
  <si>
    <t>Finance Secretary Temp</t>
  </si>
  <si>
    <t>Pastor Transition</t>
  </si>
  <si>
    <t>Requested was $2,000 for new curriculum being order (over 2 years - last year and this year) $1,200, Carnival $200, Bibles $0, Christmas Program $350, and CLC $250.</t>
  </si>
  <si>
    <t>Purchasing books to coincide with Sunday School lessons to supplement teachings.  2018 actuals was $500.  Congregation member made donation to get library back to budget.</t>
  </si>
  <si>
    <t>Requested total of $200 for Cake and Materials $100 and Curriculum $100.</t>
  </si>
  <si>
    <t>Requested was Materials $200</t>
  </si>
  <si>
    <t>Requested $750 for materials.</t>
  </si>
  <si>
    <t>Youth Night Food &amp; Projects $7,208, Fright Fest $500, Winter Retreat $292, Winter Retreat Bus $300, Mission Trip 4 Chaperones $4,000 (combined middle/high school trip), 2 Lock-ins $500 (Food and Community service project).</t>
  </si>
  <si>
    <t>Kim/Cheryl received new computer 11/2016 and Janice got a new printer also.</t>
  </si>
  <si>
    <t>Cheryl  What is her current rate and hours?</t>
  </si>
  <si>
    <t>Intern</t>
  </si>
  <si>
    <t>Total Intern</t>
  </si>
  <si>
    <r>
      <t xml:space="preserve">2019:  Requested $1,000 in total for Gowns $200, Breakfast $350, Cake $50, Pictures $200, Flowers $100 and Gifts $100.  </t>
    </r>
    <r>
      <rPr>
        <b/>
        <sz val="11"/>
        <color rgb="FFFF0000"/>
        <rFont val="Calibri"/>
        <family val="2"/>
        <scheme val="minor"/>
      </rPr>
      <t xml:space="preserve">Expecting 10-12 Confirmants.  2018:  Requested was $1,400 for 13 Confirmants but actual is on 8 confirmants for 2018.  </t>
    </r>
  </si>
  <si>
    <t>Summer Bible School</t>
  </si>
  <si>
    <t>2019:  Moved RIC Ad $250 to Benevolance and removed the tree.  Requested $750 in total for for Racine Interfaith Coalition advertising of $250, Native Preserve Tree $300, August Night out (Food) $200.  Tree and Night out are new requests this year.</t>
  </si>
  <si>
    <t>2019 Assembly will be in Milwaukee.  Assumes 3 congregation members plus Pastor.   Includes session cost and mileage.</t>
  </si>
  <si>
    <t>Assumes 2 mailings.</t>
  </si>
  <si>
    <t>2019 Request (Jim Sodke):  Choir Piano (2 times) and 3 other pianos (1 time) at $75/each time.  Grand Piano (3 times) at $150 each.  Organ Tuning (1 time) at 750.   Total $1,575.  Includes rate increase and/or minor repairs.</t>
  </si>
  <si>
    <t>Why is this so high?  Is it on-line giving?  Johnson Bank:  Banking &amp; Account Fees.  Vanco:  Auto-withdrawal of 22 giving units.  Could increase if more people give on-line.</t>
  </si>
  <si>
    <t>Pastor:  Synod increase recommendation is 2% for 2019</t>
  </si>
  <si>
    <t>Deb Toff - back up for Cheryl.  2018 also included transition costs.</t>
  </si>
  <si>
    <t>Switched to Specrum and purchased 7 new phones (needed 5 but bought 2 extra for backup).  Needed 2 office, Pastor, Intern, and Marc/Cherly office).</t>
  </si>
  <si>
    <t>2018 high due to issues with the security.</t>
  </si>
  <si>
    <t>2019:  14% increase per Jay.  
2018:  Nationwide:  Commercial Umbrella, Commercial Property, Crime and General Liability.  Annual premium confirmed by Jay W. for 2018</t>
  </si>
  <si>
    <t>Total Income excluding Clearing Account</t>
  </si>
  <si>
    <t>Pool:</t>
  </si>
  <si>
    <t>Marc Henkel:  2018 is over spent.  What was this for?  2017 is over spent.  New Coffee Maker at $105 was part. They need to stay at budget.  Youth night and funeral, etc for plates/cups/napkins</t>
  </si>
  <si>
    <t>2018 actuals added $40/month starting in April for control of ants, Elevator is nearly $1,500.  Pest Control, Elevator check, garbage disposal, Windows Cleaned ($892 2 times a year).  Will start cleaning windows in Spring only.</t>
  </si>
  <si>
    <t>17 hour at 40</t>
  </si>
  <si>
    <t>Synod</t>
  </si>
  <si>
    <t>Total Salary and Housing</t>
  </si>
  <si>
    <t>2019 Budget</t>
  </si>
  <si>
    <t>Annual Increase %</t>
  </si>
  <si>
    <t>Portion of Medical/Vision/Dental Elected to go into Salary</t>
  </si>
  <si>
    <t>SS Allowance %</t>
  </si>
  <si>
    <t>SS Tax</t>
  </si>
  <si>
    <t>Total Defined Comp.</t>
  </si>
  <si>
    <t>Health/Dental/Vision Difference</t>
  </si>
  <si>
    <t>Gross up</t>
  </si>
  <si>
    <t>Annually</t>
  </si>
  <si>
    <t>Health Premium Allowance</t>
  </si>
  <si>
    <t>To Salary</t>
  </si>
  <si>
    <t>To Pension</t>
  </si>
  <si>
    <t>Health Premium Allowance:</t>
  </si>
  <si>
    <t>Pension at 11%</t>
  </si>
  <si>
    <t>Health Premium Allow added to Pension</t>
  </si>
  <si>
    <t>Total Pension</t>
  </si>
  <si>
    <t>Budgeted</t>
  </si>
  <si>
    <t>Defined Comp.</t>
  </si>
  <si>
    <t>NOTE:  In 2019 Budget:  Exclude Pastor Salary for FICA/MED.  This is included in her section</t>
  </si>
  <si>
    <t>2019 Budget:  Exclude Pastor Salary for FICA/MED as this is included in her section.</t>
  </si>
  <si>
    <t>2019:  Requested $750 in total for Curriculum $500 (on-line cirriculum is $500 annually), and Materials $250.  They are looking at options with other Churches.  Increase is to support the 5 week summer program.
2018:  No Vacation Bible School in 2018.</t>
  </si>
  <si>
    <t>No requested budget was received.</t>
  </si>
  <si>
    <t>Need Communication to Benevolance team about the RIC advertisement and tree.</t>
  </si>
  <si>
    <t>Need to validate budget estimate</t>
  </si>
  <si>
    <t>Move to separate staffing area.</t>
  </si>
  <si>
    <t>Trending higher than budget in 2018</t>
  </si>
  <si>
    <t>Per Compensation Package, the premium to cover Pastor and her daughter under her husbands insurance (grossed up by 25%).  Documentation is needed each year.   Per Pastor:  2019:  Include $2,600 in Salary and rest in Pension  2018:  Include in Pension.</t>
  </si>
  <si>
    <t>Other Insurance:</t>
  </si>
  <si>
    <t xml:space="preserve">    Total Pension as % of Defined Comp.</t>
  </si>
  <si>
    <t>Total Other Insurance</t>
  </si>
  <si>
    <t>Total Other Insurance %</t>
  </si>
  <si>
    <t>SubTotal</t>
  </si>
  <si>
    <t>Health Premium Allow (Pension Portion only) @7.65%</t>
  </si>
  <si>
    <t>Contract</t>
  </si>
  <si>
    <t>Health Care Premium Allow. (Portion expected to be included in Salary if not included in Defined Comp.)</t>
  </si>
  <si>
    <t>Pastor 2019</t>
  </si>
  <si>
    <t>Travel Allow</t>
  </si>
  <si>
    <t>Continuing Ed</t>
  </si>
  <si>
    <t>Cell Phone $25/Month</t>
  </si>
  <si>
    <t>Grand Total - Pastor</t>
  </si>
  <si>
    <t>Total Business Expenses</t>
  </si>
  <si>
    <t>Cell Phone Reimbursement</t>
  </si>
  <si>
    <t>In 2018 the FICA taxes were included with other staff.</t>
  </si>
  <si>
    <t>Comparable Figure (year over year)</t>
  </si>
  <si>
    <t>Per Compensation Package.  This excludes the $500 that is included for Sysnod Assembly (budgeted under Misc Programs).</t>
  </si>
  <si>
    <t>Includes Base Salary, Housing, FICA (Church Share only), and Portion of Premium Allowance</t>
  </si>
  <si>
    <t>Additional Out of pocket differences</t>
  </si>
  <si>
    <t xml:space="preserve">    Sub-total</t>
  </si>
  <si>
    <t>2019:  Paid by $50 per person attending.  2018:  25% of the year substitute for Revelation Band.  Includes 2% increase.</t>
  </si>
  <si>
    <t>Includes Pastor, Dori, Custodians, Heather for 2019</t>
  </si>
  <si>
    <t xml:space="preserve">Total:  </t>
  </si>
  <si>
    <t>2018:  Nursery heating, Roof drains, kitchen sidewalk, Requested $8,000 for general wear/tear and $12,000 for parking lot (included in Facilities Fund Reserve).
2018:  Actuals include nursery radiator at $2,000 (not budgeted).</t>
  </si>
  <si>
    <t>True Emergency issues.  Approved by Executive Council only (Communicate with Finance Committee afterwards)</t>
  </si>
  <si>
    <t>2019:  Includes $12,000 for Parking Lot.  Large Building and grounds needs for facility up-keep.  Finance Committee Approves and takes recommedation to the Council BEFORE Spending can occur.</t>
  </si>
  <si>
    <t>Fees to Seminary</t>
  </si>
  <si>
    <t>$500 Cluster Meeting, $500 Travel Pool, and $1,000 Admin. Fee</t>
  </si>
  <si>
    <t>This is the church's portion of SS.  It is not included in calculation line "Church - FICA/MED"</t>
  </si>
  <si>
    <t>Prorated the Sept YTD $2,538/9*12 = $3,384</t>
  </si>
  <si>
    <t>Start Jan. 16, 2018</t>
  </si>
  <si>
    <t>$25/Month.  Check if recommendation from Synod or other churchs?  Other cell phones?</t>
  </si>
  <si>
    <t>Lead Pastor, Deacon and Dori have cell phones.  Reduce if reimbursing $/month?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</si>
</sst>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0_);\(0\)"/>
    <numFmt numFmtId="169" formatCode="#,##0.0_);\(#,##0.0\)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7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8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5" fontId="11" fillId="7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43" fontId="0" fillId="0" borderId="0" xfId="3" applyFont="1" applyAlignment="1">
      <alignment vertical="center"/>
    </xf>
    <xf numFmtId="164" fontId="13" fillId="8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horizontal="center" vertical="center" wrapText="1"/>
    </xf>
    <xf numFmtId="164" fontId="13" fillId="3" borderId="0" xfId="1" applyNumberFormat="1" applyFont="1" applyFill="1" applyAlignment="1">
      <alignment vertical="center"/>
    </xf>
    <xf numFmtId="164" fontId="13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3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vertical="center"/>
    </xf>
    <xf numFmtId="164" fontId="15" fillId="3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12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164" fontId="7" fillId="10" borderId="0" xfId="1" applyNumberFormat="1" applyFont="1" applyFill="1" applyAlignment="1">
      <alignment horizontal="left" vertical="center" wrapText="1"/>
    </xf>
    <xf numFmtId="164" fontId="7" fillId="0" borderId="0" xfId="1" quotePrefix="1" applyNumberFormat="1" applyFont="1" applyAlignment="1">
      <alignment horizontal="left" vertical="center" wrapText="1"/>
    </xf>
    <xf numFmtId="164" fontId="7" fillId="0" borderId="0" xfId="1" quotePrefix="1" applyNumberFormat="1" applyFont="1" applyFill="1" applyAlignment="1">
      <alignment horizontal="left" vertical="center" wrapText="1"/>
    </xf>
    <xf numFmtId="164" fontId="12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7" fillId="0" borderId="0" xfId="1" quotePrefix="1" applyNumberFormat="1" applyFont="1" applyFill="1" applyAlignment="1">
      <alignment horizontal="left" vertical="center" wrapText="1"/>
    </xf>
    <xf numFmtId="164" fontId="1" fillId="0" borderId="0" xfId="1" applyNumberFormat="1" applyFont="1" applyAlignment="1">
      <alignment horizontal="left" vertical="center" wrapText="1"/>
    </xf>
    <xf numFmtId="164" fontId="7" fillId="9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 wrapText="1"/>
    </xf>
    <xf numFmtId="164" fontId="12" fillId="0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Fill="1" applyAlignment="1">
      <alignment horizontal="left" vertical="center" wrapText="1"/>
    </xf>
    <xf numFmtId="4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quotePrefix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5" fontId="13" fillId="9" borderId="0" xfId="2" applyNumberFormat="1" applyFont="1" applyFill="1" applyAlignment="1">
      <alignment horizontal="center" vertical="center" wrapText="1"/>
    </xf>
    <xf numFmtId="164" fontId="2" fillId="4" borderId="0" xfId="1" applyNumberFormat="1" applyFont="1" applyFill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1" applyNumberFormat="1" applyFont="1" applyFill="1" applyAlignment="1">
      <alignment horizontal="center" vertical="center"/>
    </xf>
    <xf numFmtId="168" fontId="2" fillId="4" borderId="13" xfId="1" applyNumberFormat="1" applyFont="1" applyFill="1" applyBorder="1" applyAlignment="1">
      <alignment horizontal="center" vertical="center"/>
    </xf>
    <xf numFmtId="164" fontId="2" fillId="4" borderId="14" xfId="1" applyNumberFormat="1" applyFont="1" applyFill="1" applyBorder="1" applyAlignment="1">
      <alignment horizontal="center" vertical="center"/>
    </xf>
    <xf numFmtId="164" fontId="2" fillId="4" borderId="15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44" fontId="12" fillId="0" borderId="0" xfId="1" quotePrefix="1" applyNumberFormat="1" applyFont="1" applyFill="1" applyAlignment="1">
      <alignment horizontal="left" vertical="center" wrapText="1"/>
    </xf>
    <xf numFmtId="164" fontId="0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vertical="center"/>
    </xf>
    <xf numFmtId="164" fontId="8" fillId="2" borderId="18" xfId="1" applyNumberFormat="1" applyFont="1" applyFill="1" applyBorder="1" applyAlignment="1">
      <alignment vertical="center"/>
    </xf>
    <xf numFmtId="165" fontId="2" fillId="2" borderId="18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vertical="center"/>
    </xf>
    <xf numFmtId="165" fontId="2" fillId="2" borderId="24" xfId="2" applyNumberFormat="1" applyFont="1" applyFill="1" applyBorder="1" applyAlignment="1">
      <alignment horizontal="center" vertical="center"/>
    </xf>
    <xf numFmtId="164" fontId="2" fillId="2" borderId="20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horizontal="center" vertical="center"/>
    </xf>
    <xf numFmtId="44" fontId="0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vertical="center"/>
    </xf>
    <xf numFmtId="164" fontId="8" fillId="2" borderId="21" xfId="1" applyNumberFormat="1" applyFont="1" applyFill="1" applyBorder="1" applyAlignment="1">
      <alignment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2" fillId="2" borderId="22" xfId="2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70" fontId="7" fillId="0" borderId="0" xfId="2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 wrapText="1"/>
    </xf>
    <xf numFmtId="1" fontId="8" fillId="7" borderId="4" xfId="1" applyNumberFormat="1" applyFont="1" applyFill="1" applyBorder="1" applyAlignment="1">
      <alignment horizontal="center" vertical="center"/>
    </xf>
    <xf numFmtId="1" fontId="8" fillId="7" borderId="6" xfId="1" applyNumberFormat="1" applyFont="1" applyFill="1" applyBorder="1" applyAlignment="1">
      <alignment horizontal="center" vertical="center"/>
    </xf>
    <xf numFmtId="1" fontId="8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9" xfId="1" applyNumberFormat="1" applyFont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center" vertical="center" wrapText="1"/>
    </xf>
    <xf numFmtId="164" fontId="13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8" fontId="2" fillId="4" borderId="11" xfId="1" applyNumberFormat="1" applyFont="1" applyFill="1" applyBorder="1" applyAlignment="1">
      <alignment horizontal="center"/>
    </xf>
    <xf numFmtId="168" fontId="2" fillId="4" borderId="12" xfId="1" applyNumberFormat="1" applyFont="1" applyFill="1" applyBorder="1" applyAlignment="1">
      <alignment horizontal="center"/>
    </xf>
    <xf numFmtId="164" fontId="2" fillId="9" borderId="0" xfId="1" applyNumberFormat="1" applyFont="1" applyFill="1" applyAlignment="1">
      <alignment horizontal="center" vertical="center" wrapText="1"/>
    </xf>
    <xf numFmtId="10" fontId="7" fillId="0" borderId="0" xfId="2" applyNumberFormat="1" applyFont="1" applyAlignment="1">
      <alignment vertical="center"/>
    </xf>
    <xf numFmtId="5" fontId="15" fillId="0" borderId="0" xfId="1" applyNumberFormat="1" applyFont="1" applyFill="1" applyBorder="1" applyAlignment="1">
      <alignment horizontal="right" vertical="center"/>
    </xf>
    <xf numFmtId="5" fontId="7" fillId="0" borderId="0" xfId="1" applyNumberFormat="1" applyFont="1" applyFill="1" applyBorder="1" applyAlignment="1">
      <alignment horizontal="right" vertical="center"/>
    </xf>
    <xf numFmtId="9" fontId="15" fillId="0" borderId="0" xfId="2" applyFont="1" applyFill="1" applyBorder="1" applyAlignment="1">
      <alignment horizontal="center" vertical="center"/>
    </xf>
    <xf numFmtId="5" fontId="7" fillId="0" borderId="0" xfId="1" applyNumberFormat="1" applyFont="1" applyFill="1" applyBorder="1" applyAlignment="1">
      <alignment horizontal="center" vertical="center"/>
    </xf>
    <xf numFmtId="5" fontId="7" fillId="0" borderId="21" xfId="1" applyNumberFormat="1" applyFont="1" applyFill="1" applyBorder="1" applyAlignment="1">
      <alignment horizontal="right" vertical="center"/>
    </xf>
    <xf numFmtId="5" fontId="15" fillId="0" borderId="21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vertical="center"/>
    </xf>
    <xf numFmtId="10" fontId="15" fillId="0" borderId="26" xfId="2" applyNumberFormat="1" applyFont="1" applyFill="1" applyBorder="1" applyAlignment="1">
      <alignment vertical="center"/>
    </xf>
    <xf numFmtId="5" fontId="15" fillId="0" borderId="26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horizontal="center" vertical="center"/>
    </xf>
    <xf numFmtId="10" fontId="15" fillId="0" borderId="26" xfId="2" applyNumberFormat="1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right" vertical="center"/>
    </xf>
    <xf numFmtId="5" fontId="15" fillId="11" borderId="26" xfId="1" applyNumberFormat="1" applyFont="1" applyFill="1" applyBorder="1" applyAlignment="1">
      <alignment horizontal="right" vertical="center"/>
    </xf>
    <xf numFmtId="10" fontId="15" fillId="11" borderId="26" xfId="2" applyNumberFormat="1" applyFont="1" applyFill="1" applyBorder="1" applyAlignment="1">
      <alignment horizontal="center" vertical="center"/>
    </xf>
    <xf numFmtId="5" fontId="7" fillId="11" borderId="26" xfId="1" applyNumberFormat="1" applyFont="1" applyFill="1" applyBorder="1" applyAlignment="1">
      <alignment horizontal="right" vertical="center"/>
    </xf>
    <xf numFmtId="10" fontId="15" fillId="11" borderId="29" xfId="2" applyNumberFormat="1" applyFont="1" applyFill="1" applyBorder="1" applyAlignment="1">
      <alignment vertical="center"/>
    </xf>
    <xf numFmtId="10" fontId="15" fillId="11" borderId="29" xfId="2" applyNumberFormat="1" applyFont="1" applyFill="1" applyBorder="1" applyAlignment="1">
      <alignment horizontal="center" vertical="center"/>
    </xf>
    <xf numFmtId="5" fontId="7" fillId="11" borderId="29" xfId="1" applyNumberFormat="1" applyFont="1" applyFill="1" applyBorder="1" applyAlignment="1">
      <alignment horizontal="right" vertical="center"/>
    </xf>
    <xf numFmtId="164" fontId="11" fillId="7" borderId="0" xfId="1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11" borderId="28" xfId="0" applyFill="1" applyBorder="1" applyAlignment="1">
      <alignment vertical="center"/>
    </xf>
    <xf numFmtId="5" fontId="0" fillId="11" borderId="29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5" fontId="15" fillId="11" borderId="30" xfId="0" applyNumberFormat="1" applyFont="1" applyFill="1" applyBorder="1" applyAlignment="1">
      <alignment vertical="center"/>
    </xf>
    <xf numFmtId="5" fontId="0" fillId="11" borderId="29" xfId="0" applyNumberFormat="1" applyFill="1" applyBorder="1" applyAlignment="1">
      <alignment horizontal="right" vertical="center"/>
    </xf>
    <xf numFmtId="5" fontId="0" fillId="0" borderId="0" xfId="0" applyNumberFormat="1" applyAlignment="1">
      <alignment vertical="center"/>
    </xf>
    <xf numFmtId="0" fontId="0" fillId="11" borderId="26" xfId="0" applyFill="1" applyBorder="1" applyAlignment="1">
      <alignment vertical="center"/>
    </xf>
    <xf numFmtId="9" fontId="15" fillId="11" borderId="29" xfId="0" applyNumberFormat="1" applyFont="1" applyFill="1" applyBorder="1" applyAlignment="1">
      <alignment vertical="center"/>
    </xf>
    <xf numFmtId="5" fontId="2" fillId="11" borderId="29" xfId="0" applyNumberFormat="1" applyFont="1" applyFill="1" applyBorder="1" applyAlignment="1">
      <alignment horizontal="right" vertical="center"/>
    </xf>
    <xf numFmtId="0" fontId="0" fillId="11" borderId="9" xfId="0" applyFill="1" applyBorder="1" applyAlignment="1">
      <alignment vertical="center"/>
    </xf>
    <xf numFmtId="5" fontId="2" fillId="11" borderId="8" xfId="0" applyNumberFormat="1" applyFont="1" applyFill="1" applyBorder="1" applyAlignment="1">
      <alignment vertical="center"/>
    </xf>
    <xf numFmtId="5" fontId="2" fillId="11" borderId="10" xfId="0" applyNumberFormat="1" applyFont="1" applyFill="1" applyBorder="1" applyAlignment="1">
      <alignment vertical="center"/>
    </xf>
    <xf numFmtId="5" fontId="2" fillId="11" borderId="3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5" fontId="0" fillId="0" borderId="0" xfId="0" applyNumberFormat="1" applyBorder="1" applyAlignment="1">
      <alignment vertical="center"/>
    </xf>
    <xf numFmtId="5" fontId="0" fillId="0" borderId="26" xfId="0" applyNumberFormat="1" applyBorder="1" applyAlignment="1">
      <alignment vertical="center"/>
    </xf>
    <xf numFmtId="5" fontId="0" fillId="0" borderId="0" xfId="0" applyNumberFormat="1" applyFill="1" applyBorder="1" applyAlignment="1">
      <alignment vertical="center"/>
    </xf>
    <xf numFmtId="5" fontId="15" fillId="0" borderId="0" xfId="0" applyNumberFormat="1" applyFont="1" applyBorder="1" applyAlignment="1">
      <alignment vertical="center"/>
    </xf>
    <xf numFmtId="5" fontId="15" fillId="0" borderId="2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5" fontId="2" fillId="0" borderId="8" xfId="0" applyNumberFormat="1" applyFont="1" applyBorder="1" applyAlignment="1">
      <alignment vertical="center"/>
    </xf>
    <xf numFmtId="5" fontId="2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8" fillId="0" borderId="9" xfId="0" applyFont="1" applyBorder="1" applyAlignment="1">
      <alignment vertical="center"/>
    </xf>
    <xf numFmtId="5" fontId="8" fillId="0" borderId="8" xfId="0" applyNumberFormat="1" applyFont="1" applyBorder="1" applyAlignment="1">
      <alignment vertical="center"/>
    </xf>
    <xf numFmtId="5" fontId="8" fillId="0" borderId="10" xfId="0" applyNumberFormat="1" applyFont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5" fontId="2" fillId="11" borderId="2" xfId="0" applyNumberFormat="1" applyFont="1" applyFill="1" applyBorder="1" applyAlignment="1">
      <alignment vertical="center"/>
    </xf>
    <xf numFmtId="5" fontId="2" fillId="11" borderId="3" xfId="0" applyNumberFormat="1" applyFont="1" applyFill="1" applyBorder="1" applyAlignment="1">
      <alignment vertical="center"/>
    </xf>
    <xf numFmtId="5" fontId="2" fillId="11" borderId="7" xfId="0" applyNumberFormat="1" applyFont="1" applyFill="1" applyBorder="1" applyAlignment="1">
      <alignment vertical="center"/>
    </xf>
    <xf numFmtId="9" fontId="15" fillId="11" borderId="5" xfId="0" applyNumberFormat="1" applyFont="1" applyFill="1" applyBorder="1" applyAlignment="1">
      <alignment vertical="center"/>
    </xf>
    <xf numFmtId="5" fontId="0" fillId="11" borderId="26" xfId="0" applyNumberFormat="1" applyFill="1" applyBorder="1" applyAlignment="1">
      <alignment vertical="center"/>
    </xf>
    <xf numFmtId="5" fontId="15" fillId="11" borderId="26" xfId="0" applyNumberFormat="1" applyFont="1" applyFill="1" applyBorder="1" applyAlignment="1">
      <alignment vertical="center"/>
    </xf>
    <xf numFmtId="5" fontId="2" fillId="11" borderId="26" xfId="0" applyNumberFormat="1" applyFont="1" applyFill="1" applyBorder="1" applyAlignment="1">
      <alignment vertical="center"/>
    </xf>
    <xf numFmtId="165" fontId="0" fillId="11" borderId="10" xfId="2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5" fontId="15" fillId="0" borderId="25" xfId="1" applyNumberFormat="1" applyFont="1" applyFill="1" applyBorder="1" applyAlignment="1">
      <alignment horizontal="right" vertical="center"/>
    </xf>
    <xf numFmtId="5" fontId="0" fillId="0" borderId="29" xfId="0" applyNumberFormat="1" applyFill="1" applyBorder="1" applyAlignment="1">
      <alignment vertical="center"/>
    </xf>
    <xf numFmtId="9" fontId="15" fillId="0" borderId="25" xfId="2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5" fontId="7" fillId="0" borderId="27" xfId="1" applyNumberFormat="1" applyFont="1" applyFill="1" applyBorder="1" applyAlignment="1">
      <alignment horizontal="right" vertical="center"/>
    </xf>
    <xf numFmtId="5" fontId="15" fillId="0" borderId="30" xfId="0" applyNumberFormat="1" applyFont="1" applyFill="1" applyBorder="1" applyAlignment="1">
      <alignment vertical="center"/>
    </xf>
    <xf numFmtId="5" fontId="0" fillId="0" borderId="25" xfId="0" applyNumberFormat="1" applyFill="1" applyBorder="1" applyAlignment="1">
      <alignment horizontal="right" vertical="center"/>
    </xf>
    <xf numFmtId="5" fontId="0" fillId="0" borderId="0" xfId="0" applyNumberFormat="1" applyFill="1" applyBorder="1" applyAlignment="1">
      <alignment horizontal="right" vertical="center"/>
    </xf>
    <xf numFmtId="5" fontId="0" fillId="0" borderId="26" xfId="0" applyNumberFormat="1" applyFill="1" applyBorder="1" applyAlignment="1">
      <alignment horizontal="right" vertical="center"/>
    </xf>
    <xf numFmtId="5" fontId="0" fillId="0" borderId="29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0" fontId="15" fillId="0" borderId="29" xfId="2" applyNumberFormat="1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vertical="center"/>
    </xf>
    <xf numFmtId="9" fontId="15" fillId="0" borderId="26" xfId="0" applyNumberFormat="1" applyFont="1" applyFill="1" applyBorder="1" applyAlignment="1">
      <alignment vertical="center"/>
    </xf>
    <xf numFmtId="9" fontId="15" fillId="0" borderId="29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right" vertical="center"/>
    </xf>
    <xf numFmtId="5" fontId="2" fillId="0" borderId="26" xfId="0" applyNumberFormat="1" applyFont="1" applyFill="1" applyBorder="1" applyAlignment="1">
      <alignment horizontal="right" vertical="center"/>
    </xf>
    <xf numFmtId="5" fontId="13" fillId="0" borderId="29" xfId="0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 wrapText="1"/>
    </xf>
    <xf numFmtId="5" fontId="7" fillId="0" borderId="29" xfId="1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 wrapText="1"/>
    </xf>
    <xf numFmtId="10" fontId="15" fillId="0" borderId="29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" fontId="2" fillId="0" borderId="8" xfId="0" applyNumberFormat="1" applyFont="1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5" fontId="2" fillId="0" borderId="3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5" fontId="8" fillId="0" borderId="0" xfId="1" applyNumberFormat="1" applyFont="1" applyFill="1" applyBorder="1" applyAlignment="1">
      <alignment horizontal="right" vertical="center"/>
    </xf>
    <xf numFmtId="5" fontId="11" fillId="0" borderId="0" xfId="1" applyNumberFormat="1" applyFont="1" applyFill="1" applyBorder="1" applyAlignment="1">
      <alignment horizontal="right" vertical="center"/>
    </xf>
    <xf numFmtId="5" fontId="8" fillId="0" borderId="26" xfId="1" applyNumberFormat="1" applyFont="1" applyFill="1" applyBorder="1" applyAlignment="1">
      <alignment horizontal="right" vertical="center"/>
    </xf>
    <xf numFmtId="5" fontId="0" fillId="0" borderId="8" xfId="0" applyNumberFormat="1" applyFill="1" applyBorder="1" applyAlignment="1">
      <alignment vertical="center"/>
    </xf>
    <xf numFmtId="5" fontId="0" fillId="0" borderId="10" xfId="0" applyNumberFormat="1" applyFill="1" applyBorder="1" applyAlignment="1">
      <alignment vertical="center"/>
    </xf>
    <xf numFmtId="9" fontId="15" fillId="0" borderId="6" xfId="0" applyNumberFormat="1" applyFont="1" applyFill="1" applyBorder="1" applyAlignment="1">
      <alignment vertical="center"/>
    </xf>
    <xf numFmtId="9" fontId="15" fillId="0" borderId="5" xfId="0" applyNumberFormat="1" applyFont="1" applyFill="1" applyBorder="1" applyAlignment="1">
      <alignment vertical="center"/>
    </xf>
    <xf numFmtId="5" fontId="0" fillId="0" borderId="26" xfId="0" applyNumberFormat="1" applyFill="1" applyBorder="1" applyAlignment="1">
      <alignment vertical="center"/>
    </xf>
    <xf numFmtId="5" fontId="11" fillId="0" borderId="0" xfId="0" applyNumberFormat="1" applyFont="1" applyFill="1" applyBorder="1" applyAlignment="1">
      <alignment vertical="center"/>
    </xf>
    <xf numFmtId="5" fontId="15" fillId="0" borderId="26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26" xfId="0" applyNumberFormat="1" applyFont="1" applyFill="1" applyBorder="1" applyAlignment="1">
      <alignment vertical="center"/>
    </xf>
    <xf numFmtId="5" fontId="8" fillId="0" borderId="26" xfId="0" applyNumberFormat="1" applyFont="1" applyFill="1" applyBorder="1" applyAlignment="1">
      <alignment vertical="center"/>
    </xf>
    <xf numFmtId="165" fontId="0" fillId="0" borderId="8" xfId="2" applyNumberFormat="1" applyFont="1" applyFill="1" applyBorder="1" applyAlignment="1">
      <alignment vertical="center"/>
    </xf>
    <xf numFmtId="165" fontId="0" fillId="0" borderId="10" xfId="2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165" fontId="15" fillId="0" borderId="26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26" xfId="0" applyNumberFormat="1" applyFont="1" applyFill="1" applyBorder="1" applyAlignment="1">
      <alignment vertical="center"/>
    </xf>
    <xf numFmtId="0" fontId="0" fillId="0" borderId="25" xfId="0" applyFill="1" applyBorder="1" applyAlignment="1">
      <alignment vertical="center" wrapText="1"/>
    </xf>
    <xf numFmtId="5" fontId="15" fillId="0" borderId="0" xfId="0" applyNumberFormat="1" applyFont="1" applyFill="1" applyBorder="1" applyAlignment="1">
      <alignment vertical="center"/>
    </xf>
    <xf numFmtId="0" fontId="2" fillId="11" borderId="28" xfId="0" applyFont="1" applyFill="1" applyBorder="1" applyAlignment="1">
      <alignment horizontal="center" vertical="center"/>
    </xf>
    <xf numFmtId="0" fontId="0" fillId="11" borderId="5" xfId="0" applyFill="1" applyBorder="1" applyAlignment="1">
      <alignment vertical="center"/>
    </xf>
    <xf numFmtId="5" fontId="8" fillId="11" borderId="26" xfId="1" applyNumberFormat="1" applyFont="1" applyFill="1" applyBorder="1" applyAlignment="1">
      <alignment horizontal="right" vertical="center"/>
    </xf>
    <xf numFmtId="5" fontId="0" fillId="11" borderId="10" xfId="0" applyNumberFormat="1" applyFill="1" applyBorder="1" applyAlignment="1">
      <alignment vertical="center"/>
    </xf>
    <xf numFmtId="165" fontId="15" fillId="11" borderId="26" xfId="0" applyNumberFormat="1" applyFont="1" applyFill="1" applyBorder="1" applyAlignment="1">
      <alignment vertical="center"/>
    </xf>
    <xf numFmtId="165" fontId="7" fillId="11" borderId="26" xfId="0" applyNumberFormat="1" applyFont="1" applyFill="1" applyBorder="1" applyAlignment="1">
      <alignment vertical="center"/>
    </xf>
    <xf numFmtId="0" fontId="15" fillId="11" borderId="28" xfId="0" applyFont="1" applyFill="1" applyBorder="1" applyAlignment="1">
      <alignment vertical="center"/>
    </xf>
    <xf numFmtId="5" fontId="15" fillId="11" borderId="29" xfId="0" applyNumberFormat="1" applyFont="1" applyFill="1" applyBorder="1" applyAlignment="1">
      <alignment vertical="center"/>
    </xf>
    <xf numFmtId="5" fontId="8" fillId="11" borderId="31" xfId="0" applyNumberFormat="1" applyFont="1" applyFill="1" applyBorder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11" borderId="8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15" fillId="7" borderId="29" xfId="0" applyNumberFormat="1" applyFont="1" applyFill="1" applyBorder="1" applyAlignment="1">
      <alignment vertical="center"/>
    </xf>
    <xf numFmtId="5" fontId="15" fillId="7" borderId="26" xfId="0" applyNumberFormat="1" applyFont="1" applyFill="1" applyBorder="1" applyAlignment="1">
      <alignment vertical="center"/>
    </xf>
    <xf numFmtId="164" fontId="15" fillId="0" borderId="32" xfId="1" applyNumberFormat="1" applyFont="1" applyBorder="1" applyAlignment="1">
      <alignment vertical="center"/>
    </xf>
    <xf numFmtId="164" fontId="7" fillId="0" borderId="32" xfId="1" applyNumberFormat="1" applyFont="1" applyBorder="1" applyAlignment="1">
      <alignment vertical="center"/>
    </xf>
    <xf numFmtId="165" fontId="0" fillId="0" borderId="32" xfId="2" applyNumberFormat="1" applyFont="1" applyBorder="1" applyAlignment="1">
      <alignment horizontal="center" vertical="center"/>
    </xf>
    <xf numFmtId="164" fontId="0" fillId="0" borderId="32" xfId="1" applyNumberFormat="1" applyFont="1" applyBorder="1" applyAlignment="1">
      <alignment vertical="center"/>
    </xf>
    <xf numFmtId="164" fontId="7" fillId="0" borderId="32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Border="1" applyAlignment="1">
      <alignment vertical="center"/>
    </xf>
    <xf numFmtId="164" fontId="7" fillId="0" borderId="33" xfId="1" applyNumberFormat="1" applyFont="1" applyBorder="1" applyAlignment="1">
      <alignment vertical="center"/>
    </xf>
    <xf numFmtId="165" fontId="0" fillId="0" borderId="33" xfId="2" applyNumberFormat="1" applyFont="1" applyBorder="1" applyAlignment="1">
      <alignment horizontal="center" vertical="center"/>
    </xf>
    <xf numFmtId="164" fontId="0" fillId="0" borderId="33" xfId="1" applyNumberFormat="1" applyFont="1" applyBorder="1" applyAlignment="1">
      <alignment vertical="center"/>
    </xf>
    <xf numFmtId="164" fontId="7" fillId="0" borderId="33" xfId="1" applyNumberFormat="1" applyFont="1" applyFill="1" applyBorder="1" applyAlignment="1">
      <alignment horizontal="left" vertical="center" wrapText="1"/>
    </xf>
    <xf numFmtId="164" fontId="15" fillId="0" borderId="34" xfId="1" applyNumberFormat="1" applyFont="1" applyBorder="1" applyAlignment="1">
      <alignment vertical="center"/>
    </xf>
    <xf numFmtId="164" fontId="7" fillId="0" borderId="34" xfId="1" applyNumberFormat="1" applyFont="1" applyBorder="1" applyAlignment="1">
      <alignment vertical="center"/>
    </xf>
    <xf numFmtId="165" fontId="0" fillId="0" borderId="34" xfId="2" applyNumberFormat="1" applyFont="1" applyBorder="1" applyAlignment="1">
      <alignment horizontal="center" vertical="center"/>
    </xf>
    <xf numFmtId="164" fontId="0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horizontal="left" vertical="center" wrapText="1"/>
    </xf>
    <xf numFmtId="164" fontId="0" fillId="0" borderId="32" xfId="1" applyNumberFormat="1" applyFont="1" applyFill="1" applyBorder="1" applyAlignment="1">
      <alignment vertical="center"/>
    </xf>
    <xf numFmtId="164" fontId="0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/>
    </xf>
    <xf numFmtId="164" fontId="15" fillId="7" borderId="32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 vertical="center"/>
    </xf>
    <xf numFmtId="164" fontId="0" fillId="0" borderId="34" xfId="1" applyNumberFormat="1" applyFont="1" applyFill="1" applyBorder="1" applyAlignment="1">
      <alignment vertical="center"/>
    </xf>
    <xf numFmtId="164" fontId="0" fillId="0" borderId="34" xfId="1" applyNumberFormat="1" applyFont="1" applyFill="1" applyBorder="1" applyAlignment="1">
      <alignment horizontal="center" vertical="center"/>
    </xf>
    <xf numFmtId="164" fontId="0" fillId="0" borderId="34" xfId="1" applyNumberFormat="1" applyFont="1" applyBorder="1" applyAlignment="1">
      <alignment horizontal="center" vertical="center"/>
    </xf>
    <xf numFmtId="164" fontId="12" fillId="0" borderId="33" xfId="1" applyNumberFormat="1" applyFont="1" applyFill="1" applyBorder="1" applyAlignment="1">
      <alignment horizontal="left" vertical="center" wrapText="1"/>
    </xf>
    <xf numFmtId="164" fontId="12" fillId="0" borderId="34" xfId="1" applyNumberFormat="1" applyFont="1" applyFill="1" applyBorder="1" applyAlignment="1">
      <alignment horizontal="left" vertical="center" wrapText="1"/>
    </xf>
    <xf numFmtId="164" fontId="7" fillId="7" borderId="32" xfId="1" applyNumberFormat="1" applyFont="1" applyFill="1" applyBorder="1" applyAlignment="1">
      <alignment horizontal="left" vertical="center" wrapText="1"/>
    </xf>
    <xf numFmtId="164" fontId="7" fillId="7" borderId="34" xfId="1" applyNumberFormat="1" applyFont="1" applyFill="1" applyBorder="1" applyAlignment="1">
      <alignment horizontal="left" vertical="center" wrapText="1"/>
    </xf>
    <xf numFmtId="164" fontId="15" fillId="7" borderId="33" xfId="1" applyNumberFormat="1" applyFont="1" applyFill="1" applyBorder="1" applyAlignment="1">
      <alignment vertical="center"/>
    </xf>
    <xf numFmtId="164" fontId="7" fillId="7" borderId="33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Fill="1" applyBorder="1" applyAlignment="1">
      <alignment vertical="center"/>
    </xf>
    <xf numFmtId="164" fontId="15" fillId="0" borderId="34" xfId="1" applyNumberFormat="1" applyFont="1" applyFill="1" applyBorder="1" applyAlignment="1">
      <alignment vertical="center"/>
    </xf>
    <xf numFmtId="164" fontId="15" fillId="0" borderId="32" xfId="1" applyNumberFormat="1" applyFont="1" applyFill="1" applyBorder="1" applyAlignment="1">
      <alignment vertical="center"/>
    </xf>
    <xf numFmtId="168" fontId="2" fillId="4" borderId="35" xfId="1" applyNumberFormat="1" applyFont="1" applyFill="1" applyBorder="1" applyAlignment="1">
      <alignment horizontal="center" vertical="center"/>
    </xf>
    <xf numFmtId="168" fontId="2" fillId="4" borderId="36" xfId="1" applyNumberFormat="1" applyFont="1" applyFill="1" applyBorder="1" applyAlignment="1">
      <alignment horizontal="center" vertical="center"/>
    </xf>
    <xf numFmtId="168" fontId="2" fillId="4" borderId="37" xfId="1" applyNumberFormat="1" applyFont="1" applyFill="1" applyBorder="1" applyAlignment="1">
      <alignment horizontal="center" vertical="center"/>
    </xf>
    <xf numFmtId="164" fontId="15" fillId="7" borderId="34" xfId="1" applyNumberFormat="1" applyFont="1" applyFill="1" applyBorder="1" applyAlignment="1">
      <alignment vertical="center"/>
    </xf>
    <xf numFmtId="5" fontId="15" fillId="0" borderId="32" xfId="1" applyNumberFormat="1" applyFont="1" applyFill="1" applyBorder="1" applyAlignment="1">
      <alignment horizontal="center" vertical="center"/>
    </xf>
    <xf numFmtId="9" fontId="15" fillId="0" borderId="32" xfId="2" applyFont="1" applyFill="1" applyBorder="1" applyAlignment="1">
      <alignment horizontal="center" vertical="center"/>
    </xf>
    <xf numFmtId="5" fontId="7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Fill="1" applyBorder="1" applyAlignment="1">
      <alignment horizontal="center" vertical="center" wrapText="1"/>
    </xf>
    <xf numFmtId="10" fontId="15" fillId="0" borderId="32" xfId="2" applyNumberFormat="1" applyFont="1" applyFill="1" applyBorder="1" applyAlignment="1">
      <alignment vertical="center"/>
    </xf>
    <xf numFmtId="164" fontId="7" fillId="0" borderId="32" xfId="1" applyNumberFormat="1" applyFont="1" applyFill="1" applyBorder="1" applyAlignment="1">
      <alignment vertical="center"/>
    </xf>
    <xf numFmtId="164" fontId="2" fillId="0" borderId="33" xfId="1" applyNumberFormat="1" applyFont="1" applyFill="1" applyBorder="1" applyAlignment="1">
      <alignment horizontal="right" vertical="center" wrapText="1"/>
    </xf>
    <xf numFmtId="164" fontId="2" fillId="0" borderId="33" xfId="1" applyNumberFormat="1" applyFont="1" applyFill="1" applyBorder="1" applyAlignment="1">
      <alignment vertical="center" wrapText="1"/>
    </xf>
    <xf numFmtId="164" fontId="0" fillId="0" borderId="33" xfId="1" applyNumberFormat="1" applyFont="1" applyFill="1" applyBorder="1" applyAlignment="1">
      <alignment horizontal="left" vertical="center"/>
    </xf>
    <xf numFmtId="5" fontId="15" fillId="0" borderId="33" xfId="1" applyNumberFormat="1" applyFont="1" applyFill="1" applyBorder="1" applyAlignment="1">
      <alignment horizontal="center" vertical="center"/>
    </xf>
    <xf numFmtId="5" fontId="7" fillId="0" borderId="33" xfId="1" applyNumberFormat="1" applyFont="1" applyFill="1" applyBorder="1" applyAlignment="1">
      <alignment horizontal="center" vertical="center"/>
    </xf>
    <xf numFmtId="9" fontId="0" fillId="0" borderId="33" xfId="2" applyFont="1" applyFill="1" applyBorder="1" applyAlignment="1">
      <alignment horizontal="center" vertical="center"/>
    </xf>
    <xf numFmtId="164" fontId="14" fillId="0" borderId="33" xfId="1" applyNumberFormat="1" applyFont="1" applyFill="1" applyBorder="1" applyAlignment="1">
      <alignment vertical="center"/>
    </xf>
    <xf numFmtId="164" fontId="7" fillId="0" borderId="33" xfId="1" applyNumberFormat="1" applyFont="1" applyFill="1" applyBorder="1" applyAlignment="1">
      <alignment vertical="center"/>
    </xf>
    <xf numFmtId="164" fontId="0" fillId="0" borderId="33" xfId="1" applyNumberFormat="1" applyFont="1" applyBorder="1" applyAlignment="1">
      <alignment horizontal="left" vertical="center" wrapText="1"/>
    </xf>
    <xf numFmtId="164" fontId="0" fillId="0" borderId="33" xfId="1" applyNumberFormat="1" applyFont="1" applyFill="1" applyBorder="1" applyAlignment="1">
      <alignment vertical="center" wrapText="1"/>
    </xf>
    <xf numFmtId="164" fontId="2" fillId="0" borderId="33" xfId="1" applyNumberFormat="1" applyFont="1" applyFill="1" applyBorder="1" applyAlignment="1">
      <alignment horizontal="right" vertical="top" wrapText="1"/>
    </xf>
    <xf numFmtId="164" fontId="2" fillId="0" borderId="33" xfId="1" applyNumberFormat="1" applyFont="1" applyFill="1" applyBorder="1" applyAlignment="1">
      <alignment vertical="top" wrapText="1"/>
    </xf>
    <xf numFmtId="164" fontId="15" fillId="0" borderId="33" xfId="1" applyNumberFormat="1" applyFont="1" applyFill="1" applyBorder="1" applyAlignment="1">
      <alignment horizontal="center" vertical="center"/>
    </xf>
    <xf numFmtId="9" fontId="15" fillId="0" borderId="33" xfId="2" applyFont="1" applyFill="1" applyBorder="1" applyAlignment="1">
      <alignment horizontal="center" vertical="center"/>
    </xf>
    <xf numFmtId="164" fontId="0" fillId="0" borderId="33" xfId="1" applyNumberFormat="1" applyFont="1" applyFill="1" applyBorder="1" applyAlignment="1">
      <alignment horizontal="center" vertical="center" wrapText="1"/>
    </xf>
    <xf numFmtId="10" fontId="15" fillId="0" borderId="33" xfId="2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vertical="center"/>
    </xf>
    <xf numFmtId="165" fontId="15" fillId="0" borderId="33" xfId="2" applyNumberFormat="1" applyFont="1" applyFill="1" applyBorder="1" applyAlignment="1">
      <alignment horizontal="center" vertical="center"/>
    </xf>
    <xf numFmtId="165" fontId="7" fillId="0" borderId="33" xfId="2" applyNumberFormat="1" applyFont="1" applyFill="1" applyBorder="1" applyAlignment="1">
      <alignment vertical="center"/>
    </xf>
    <xf numFmtId="164" fontId="7" fillId="0" borderId="33" xfId="1" quotePrefix="1" applyNumberFormat="1" applyFont="1" applyFill="1" applyBorder="1" applyAlignment="1">
      <alignment horizontal="left" vertical="center" wrapText="1"/>
    </xf>
    <xf numFmtId="168" fontId="0" fillId="0" borderId="33" xfId="1" applyNumberFormat="1" applyFont="1" applyFill="1" applyBorder="1" applyAlignment="1">
      <alignment horizontal="center" vertical="center"/>
    </xf>
    <xf numFmtId="164" fontId="1" fillId="0" borderId="33" xfId="1" applyNumberFormat="1" applyFont="1" applyBorder="1" applyAlignment="1">
      <alignment vertical="center"/>
    </xf>
    <xf numFmtId="164" fontId="7" fillId="7" borderId="33" xfId="1" applyNumberFormat="1" applyFont="1" applyFill="1" applyBorder="1" applyAlignment="1">
      <alignment vertical="center"/>
    </xf>
    <xf numFmtId="164" fontId="14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vertical="center"/>
    </xf>
    <xf numFmtId="164" fontId="7" fillId="0" borderId="32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43" fontId="0" fillId="0" borderId="32" xfId="3" applyFont="1" applyBorder="1" applyAlignment="1">
      <alignment horizontal="center" vertical="center"/>
    </xf>
    <xf numFmtId="37" fontId="15" fillId="0" borderId="34" xfId="1" applyNumberFormat="1" applyFont="1" applyFill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165" fontId="15" fillId="0" borderId="34" xfId="2" applyNumberFormat="1" applyFont="1" applyBorder="1" applyAlignment="1">
      <alignment horizontal="center" vertical="center"/>
    </xf>
    <xf numFmtId="7" fontId="15" fillId="0" borderId="34" xfId="1" applyNumberFormat="1" applyFont="1" applyBorder="1" applyAlignment="1">
      <alignment horizontal="center" vertical="center"/>
    </xf>
    <xf numFmtId="44" fontId="15" fillId="0" borderId="34" xfId="1" applyNumberFormat="1" applyFont="1" applyBorder="1" applyAlignment="1">
      <alignment horizontal="center" vertical="center"/>
    </xf>
    <xf numFmtId="164" fontId="7" fillId="7" borderId="34" xfId="1" applyNumberFormat="1" applyFont="1" applyFill="1" applyBorder="1" applyAlignment="1">
      <alignment vertical="center"/>
    </xf>
    <xf numFmtId="164" fontId="0" fillId="7" borderId="34" xfId="1" applyNumberFormat="1" applyFont="1" applyFill="1" applyBorder="1" applyAlignment="1">
      <alignment vertical="center" wrapText="1"/>
    </xf>
    <xf numFmtId="168" fontId="15" fillId="0" borderId="38" xfId="1" applyNumberFormat="1" applyFont="1" applyFill="1" applyBorder="1" applyAlignment="1">
      <alignment horizontal="center" vertical="center"/>
    </xf>
    <xf numFmtId="168" fontId="15" fillId="0" borderId="39" xfId="1" applyNumberFormat="1" applyFont="1" applyFill="1" applyBorder="1" applyAlignment="1">
      <alignment horizontal="center" vertical="center"/>
    </xf>
    <xf numFmtId="168" fontId="15" fillId="0" borderId="40" xfId="1" applyNumberFormat="1" applyFont="1" applyFill="1" applyBorder="1" applyAlignment="1">
      <alignment horizontal="center" vertical="center"/>
    </xf>
    <xf numFmtId="164" fontId="15" fillId="0" borderId="41" xfId="1" applyNumberFormat="1" applyFont="1" applyFill="1" applyBorder="1" applyAlignment="1">
      <alignment horizontal="center" vertical="center" wrapText="1"/>
    </xf>
    <xf numFmtId="164" fontId="15" fillId="0" borderId="32" xfId="1" applyNumberFormat="1" applyFont="1" applyFill="1" applyBorder="1" applyAlignment="1">
      <alignment horizontal="center" vertical="center" wrapText="1"/>
    </xf>
    <xf numFmtId="164" fontId="12" fillId="0" borderId="32" xfId="1" applyNumberFormat="1" applyFont="1" applyFill="1" applyBorder="1" applyAlignment="1">
      <alignment horizontal="left" vertical="center" wrapText="1"/>
    </xf>
    <xf numFmtId="164" fontId="15" fillId="0" borderId="42" xfId="1" applyNumberFormat="1" applyFont="1" applyFill="1" applyBorder="1" applyAlignment="1">
      <alignment vertical="center"/>
    </xf>
    <xf numFmtId="164" fontId="15" fillId="0" borderId="33" xfId="1" applyNumberFormat="1" applyFont="1" applyFill="1" applyBorder="1" applyAlignment="1">
      <alignment vertical="center" wrapText="1"/>
    </xf>
    <xf numFmtId="164" fontId="15" fillId="0" borderId="43" xfId="1" applyNumberFormat="1" applyFont="1" applyFill="1" applyBorder="1" applyAlignment="1">
      <alignment vertical="center"/>
    </xf>
    <xf numFmtId="164" fontId="15" fillId="0" borderId="42" xfId="1" applyNumberFormat="1" applyFont="1" applyFill="1" applyBorder="1" applyAlignment="1">
      <alignment horizontal="center" vertical="center" wrapText="1"/>
    </xf>
    <xf numFmtId="164" fontId="15" fillId="0" borderId="33" xfId="1" applyNumberFormat="1" applyFont="1" applyFill="1" applyBorder="1" applyAlignment="1">
      <alignment horizontal="center" vertical="center" wrapText="1"/>
    </xf>
    <xf numFmtId="9" fontId="15" fillId="0" borderId="33" xfId="2" applyFont="1" applyBorder="1" applyAlignment="1">
      <alignment horizontal="center" vertical="center"/>
    </xf>
    <xf numFmtId="164" fontId="1" fillId="0" borderId="34" xfId="1" applyNumberFormat="1" applyFont="1" applyFill="1" applyBorder="1" applyAlignment="1">
      <alignment horizontal="left" vertical="center" wrapText="1"/>
    </xf>
    <xf numFmtId="164" fontId="14" fillId="0" borderId="32" xfId="1" applyNumberFormat="1" applyFont="1" applyBorder="1" applyAlignment="1">
      <alignment vertical="center"/>
    </xf>
    <xf numFmtId="164" fontId="14" fillId="0" borderId="33" xfId="1" applyNumberFormat="1" applyFont="1" applyBorder="1" applyAlignment="1">
      <alignment vertical="center"/>
    </xf>
    <xf numFmtId="44" fontId="7" fillId="0" borderId="33" xfId="1" applyNumberFormat="1" applyFont="1" applyFill="1" applyBorder="1" applyAlignment="1">
      <alignment horizontal="left" vertical="center" wrapText="1"/>
    </xf>
    <xf numFmtId="168" fontId="2" fillId="4" borderId="42" xfId="1" applyNumberFormat="1" applyFont="1" applyFill="1" applyBorder="1" applyAlignment="1">
      <alignment horizontal="center" vertical="center"/>
    </xf>
    <xf numFmtId="168" fontId="2" fillId="4" borderId="33" xfId="1" applyNumberFormat="1" applyFont="1" applyFill="1" applyBorder="1" applyAlignment="1">
      <alignment horizontal="center" vertical="center"/>
    </xf>
    <xf numFmtId="168" fontId="2" fillId="4" borderId="44" xfId="1" applyNumberFormat="1" applyFont="1" applyFill="1" applyBorder="1" applyAlignment="1">
      <alignment horizontal="center"/>
    </xf>
    <xf numFmtId="168" fontId="2" fillId="4" borderId="45" xfId="1" applyNumberFormat="1" applyFont="1" applyFill="1" applyBorder="1" applyAlignment="1">
      <alignment horizontal="center"/>
    </xf>
    <xf numFmtId="168" fontId="2" fillId="4" borderId="46" xfId="1" applyNumberFormat="1" applyFont="1" applyFill="1" applyBorder="1" applyAlignment="1">
      <alignment horizontal="center" vertical="center"/>
    </xf>
    <xf numFmtId="37" fontId="15" fillId="0" borderId="32" xfId="1" applyNumberFormat="1" applyFont="1" applyFill="1" applyBorder="1" applyAlignment="1">
      <alignment horizontal="center" vertical="center"/>
    </xf>
    <xf numFmtId="7" fontId="7" fillId="0" borderId="32" xfId="1" applyNumberFormat="1" applyFont="1" applyBorder="1" applyAlignment="1">
      <alignment horizontal="center" vertical="center"/>
    </xf>
    <xf numFmtId="165" fontId="7" fillId="0" borderId="32" xfId="2" applyNumberFormat="1" applyFont="1" applyBorder="1" applyAlignment="1">
      <alignment horizontal="center" vertical="center"/>
    </xf>
    <xf numFmtId="7" fontId="15" fillId="0" borderId="32" xfId="1" applyNumberFormat="1" applyFont="1" applyBorder="1" applyAlignment="1">
      <alignment horizontal="center" vertical="center"/>
    </xf>
    <xf numFmtId="44" fontId="15" fillId="0" borderId="32" xfId="1" applyNumberFormat="1" applyFont="1" applyBorder="1" applyAlignment="1">
      <alignment horizontal="center" vertical="center"/>
    </xf>
    <xf numFmtId="37" fontId="15" fillId="0" borderId="33" xfId="1" applyNumberFormat="1" applyFont="1" applyFill="1" applyBorder="1" applyAlignment="1">
      <alignment horizontal="center" vertical="center"/>
    </xf>
    <xf numFmtId="7" fontId="15" fillId="0" borderId="33" xfId="1" applyNumberFormat="1" applyFont="1" applyBorder="1" applyAlignment="1">
      <alignment horizontal="center" vertical="center"/>
    </xf>
    <xf numFmtId="165" fontId="7" fillId="0" borderId="33" xfId="2" applyNumberFormat="1" applyFont="1" applyBorder="1" applyAlignment="1">
      <alignment horizontal="center" vertical="center"/>
    </xf>
    <xf numFmtId="44" fontId="15" fillId="0" borderId="33" xfId="1" applyNumberFormat="1" applyFont="1" applyBorder="1" applyAlignment="1">
      <alignment horizontal="center" vertical="center"/>
    </xf>
    <xf numFmtId="7" fontId="7" fillId="0" borderId="33" xfId="1" applyNumberFormat="1" applyFont="1" applyBorder="1" applyAlignment="1">
      <alignment horizontal="center" vertical="center"/>
    </xf>
    <xf numFmtId="165" fontId="15" fillId="0" borderId="33" xfId="2" applyNumberFormat="1" applyFont="1" applyBorder="1" applyAlignment="1">
      <alignment horizontal="center" vertical="center"/>
    </xf>
    <xf numFmtId="169" fontId="15" fillId="0" borderId="33" xfId="1" applyNumberFormat="1" applyFont="1" applyFill="1" applyBorder="1" applyAlignment="1">
      <alignment horizontal="center" vertical="center"/>
    </xf>
    <xf numFmtId="164" fontId="0" fillId="0" borderId="33" xfId="1" quotePrefix="1" applyNumberFormat="1" applyFont="1" applyBorder="1" applyAlignment="1">
      <alignment horizontal="center" vertical="center"/>
    </xf>
    <xf numFmtId="13" fontId="0" fillId="0" borderId="33" xfId="1" applyNumberFormat="1" applyFont="1" applyBorder="1" applyAlignment="1">
      <alignment vertical="center"/>
    </xf>
    <xf numFmtId="164" fontId="7" fillId="10" borderId="33" xfId="1" applyNumberFormat="1" applyFont="1" applyFill="1" applyBorder="1" applyAlignment="1">
      <alignment vertical="center"/>
    </xf>
    <xf numFmtId="164" fontId="0" fillId="0" borderId="33" xfId="1" applyNumberFormat="1" applyFont="1" applyBorder="1" applyAlignment="1">
      <alignment horizontal="center" vertical="center" wrapText="1"/>
    </xf>
    <xf numFmtId="167" fontId="7" fillId="0" borderId="33" xfId="3" applyNumberFormat="1" applyFont="1" applyBorder="1" applyAlignment="1">
      <alignment horizontal="center" vertical="center"/>
    </xf>
    <xf numFmtId="43" fontId="7" fillId="0" borderId="33" xfId="3" applyNumberFormat="1" applyFont="1" applyBorder="1" applyAlignment="1">
      <alignment horizontal="center" vertical="center"/>
    </xf>
    <xf numFmtId="167" fontId="18" fillId="0" borderId="33" xfId="3" applyNumberFormat="1" applyFont="1" applyBorder="1" applyAlignment="1">
      <alignment horizontal="center" vertical="center"/>
    </xf>
    <xf numFmtId="10" fontId="15" fillId="0" borderId="33" xfId="2" applyNumberFormat="1" applyFont="1" applyBorder="1" applyAlignment="1">
      <alignment horizontal="center" vertical="center"/>
    </xf>
    <xf numFmtId="164" fontId="0" fillId="0" borderId="34" xfId="1" applyNumberFormat="1" applyFont="1" applyBorder="1" applyAlignment="1">
      <alignment horizontal="center" vertical="center" wrapText="1"/>
    </xf>
    <xf numFmtId="164" fontId="7" fillId="0" borderId="32" xfId="1" applyNumberFormat="1" applyFont="1" applyBorder="1" applyAlignment="1">
      <alignment horizontal="left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0000FF"/>
      <color rgb="FFFFCC66"/>
      <color rgb="FFFFFF99"/>
      <color rgb="FFCCFFCC"/>
      <color rgb="FFCCCC00"/>
      <color rgb="FFF8F8F8"/>
      <color rgb="FF808000"/>
      <color rgb="FFB8CCE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C2"/>
  <sheetViews>
    <sheetView showGridLines="0" workbookViewId="0">
      <selection activeCell="C3" sqref="C3"/>
    </sheetView>
  </sheetViews>
  <sheetFormatPr defaultColWidth="9.08984375" defaultRowHeight="23.5"/>
  <cols>
    <col min="1" max="1" width="23.08984375" style="45" customWidth="1"/>
    <col min="2" max="16384" width="9.08984375" style="45"/>
  </cols>
  <sheetData>
    <row r="2" spans="1:3">
      <c r="A2" s="45" t="s">
        <v>189</v>
      </c>
      <c r="C2" s="46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9"/>
  <sheetViews>
    <sheetView showGridLines="0" topLeftCell="B19" workbookViewId="0">
      <selection activeCell="C30" sqref="C30"/>
    </sheetView>
  </sheetViews>
  <sheetFormatPr defaultColWidth="9.08984375" defaultRowHeight="14.5"/>
  <cols>
    <col min="1" max="1" width="4.453125" style="47" hidden="1" customWidth="1"/>
    <col min="2" max="2" width="4.36328125" style="4" customWidth="1"/>
    <col min="3" max="3" width="9.08984375" style="1"/>
    <col min="4" max="4" width="27.90625" style="1" customWidth="1"/>
    <col min="5" max="6" width="12.08984375" style="1" customWidth="1"/>
    <col min="7" max="7" width="12.54296875" style="1" customWidth="1"/>
    <col min="8" max="8" width="2.54296875" style="1" customWidth="1"/>
    <col min="9" max="9" width="12.54296875" style="1" bestFit="1" customWidth="1"/>
    <col min="10" max="10" width="11.6328125" style="1" customWidth="1"/>
    <col min="11" max="11" width="10" style="42" bestFit="1" customWidth="1"/>
    <col min="12" max="12" width="10" style="1" bestFit="1" customWidth="1"/>
    <col min="13" max="13" width="9.08984375" style="1"/>
    <col min="14" max="14" width="13.453125" style="1" customWidth="1"/>
    <col min="15" max="15" width="9.54296875" style="1" bestFit="1" customWidth="1"/>
    <col min="16" max="16384" width="9.08984375" style="1"/>
  </cols>
  <sheetData>
    <row r="1" spans="1:11" ht="41.25" customHeight="1">
      <c r="B1" s="139" t="s">
        <v>91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1" ht="8.25" customHeight="1"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8" customHeight="1">
      <c r="E3" s="144" t="s">
        <v>90</v>
      </c>
      <c r="F3" s="145"/>
      <c r="G3" s="146"/>
      <c r="I3" s="141" t="str">
        <f>+'New Year-Full Year'!T2</f>
        <v>2018 Year to Date (YTD)</v>
      </c>
      <c r="J3" s="142"/>
      <c r="K3" s="143"/>
    </row>
    <row r="4" spans="1:11" s="4" customFormat="1" ht="44.25" customHeight="1">
      <c r="A4" s="48"/>
      <c r="E4" s="50" t="str">
        <f>+'New Year-Full Year'!O3</f>
        <v>2019 Budget</v>
      </c>
      <c r="F4" s="44" t="str">
        <f>+'New Year-Full Year'!P3</f>
        <v>2018 Budget</v>
      </c>
      <c r="G4" s="51" t="str">
        <f>+'New Year-Full Year'!R4</f>
        <v>%</v>
      </c>
      <c r="I4" s="2" t="str">
        <f>+'New Year-Full Year'!T3</f>
        <v>Sept YTD Actual</v>
      </c>
      <c r="J4" s="41" t="str">
        <f>+'New Year-Full Year'!U3</f>
        <v>Sept YTD Budget</v>
      </c>
      <c r="K4" s="3" t="s">
        <v>89</v>
      </c>
    </row>
    <row r="5" spans="1:11" s="4" customFormat="1" ht="18.5">
      <c r="A5" s="48"/>
      <c r="B5" s="9" t="s">
        <v>0</v>
      </c>
      <c r="E5" s="10"/>
      <c r="F5" s="43"/>
      <c r="G5" s="43"/>
      <c r="I5" s="43"/>
      <c r="J5" s="43"/>
      <c r="K5" s="43"/>
    </row>
    <row r="6" spans="1:11">
      <c r="A6" s="47">
        <v>1</v>
      </c>
      <c r="B6" s="4" t="s">
        <v>1</v>
      </c>
    </row>
    <row r="7" spans="1:11">
      <c r="A7" s="47">
        <v>2</v>
      </c>
      <c r="C7" s="1" t="str">
        <f>+'New Year-Full Year'!C7</f>
        <v>Envelope Giving</v>
      </c>
      <c r="E7" s="40">
        <f>+'New Year-Full Year'!O7</f>
        <v>490000</v>
      </c>
      <c r="F7" s="40">
        <f>+'New Year-Full Year'!P7</f>
        <v>500000</v>
      </c>
      <c r="G7" s="6">
        <f t="shared" ref="G7:G12" si="0">IF(F7=0,"NA",(+E7-F7)/F7)</f>
        <v>-0.02</v>
      </c>
      <c r="I7" s="40">
        <f>+'New Year-Full Year'!T7</f>
        <v>388083.6</v>
      </c>
      <c r="J7" s="40">
        <f>+'New Year-Full Year'!U7</f>
        <v>395547.15</v>
      </c>
      <c r="K7" s="6">
        <f t="shared" ref="K7:K12" si="1">IF(J7=0,"NA",(+I7-J7)/J7)</f>
        <v>-1.8868926245581712E-2</v>
      </c>
    </row>
    <row r="8" spans="1:11">
      <c r="A8" s="47">
        <v>4</v>
      </c>
      <c r="C8" s="1" t="str">
        <f>+'New Year-Full Year'!C8</f>
        <v>Easter Offerings</v>
      </c>
      <c r="E8" s="40">
        <f>+'New Year-Full Year'!O8</f>
        <v>3500</v>
      </c>
      <c r="F8" s="40">
        <f>+'New Year-Full Year'!P8</f>
        <v>4000</v>
      </c>
      <c r="G8" s="6">
        <f t="shared" si="0"/>
        <v>-0.125</v>
      </c>
      <c r="I8" s="40">
        <f>+'New Year-Full Year'!T8</f>
        <v>3525</v>
      </c>
      <c r="J8" s="40">
        <f>+'New Year-Full Year'!U8</f>
        <v>4000</v>
      </c>
      <c r="K8" s="6">
        <f t="shared" si="1"/>
        <v>-0.11874999999999999</v>
      </c>
    </row>
    <row r="9" spans="1:11">
      <c r="A9" s="47">
        <v>5</v>
      </c>
      <c r="C9" s="1" t="str">
        <f>+'New Year-Full Year'!C9</f>
        <v>Thanksgiving Offerings</v>
      </c>
      <c r="E9" s="40">
        <f>+'New Year-Full Year'!O9</f>
        <v>1000</v>
      </c>
      <c r="F9" s="40">
        <f>+'New Year-Full Year'!P9</f>
        <v>1000</v>
      </c>
      <c r="G9" s="6">
        <f t="shared" si="0"/>
        <v>0</v>
      </c>
      <c r="I9" s="40">
        <f>+'New Year-Full Year'!T9</f>
        <v>0</v>
      </c>
      <c r="J9" s="40">
        <f>+'New Year-Full Year'!U9</f>
        <v>0</v>
      </c>
      <c r="K9" s="6" t="str">
        <f t="shared" si="1"/>
        <v>NA</v>
      </c>
    </row>
    <row r="10" spans="1:11">
      <c r="A10" s="47">
        <v>6</v>
      </c>
      <c r="C10" s="1" t="str">
        <f>+'New Year-Full Year'!C10</f>
        <v>Christmas Offerings</v>
      </c>
      <c r="E10" s="40">
        <f>+'New Year-Full Year'!O10</f>
        <v>5000</v>
      </c>
      <c r="F10" s="40">
        <f>+'New Year-Full Year'!P10</f>
        <v>5000</v>
      </c>
      <c r="G10" s="6">
        <f t="shared" si="0"/>
        <v>0</v>
      </c>
      <c r="I10" s="40">
        <f>+'New Year-Full Year'!T10</f>
        <v>10</v>
      </c>
      <c r="J10" s="40">
        <f>+'New Year-Full Year'!U10</f>
        <v>0</v>
      </c>
      <c r="K10" s="6" t="str">
        <f t="shared" si="1"/>
        <v>NA</v>
      </c>
    </row>
    <row r="11" spans="1:11">
      <c r="A11" s="47">
        <v>7</v>
      </c>
      <c r="C11" s="1" t="str">
        <f>+'New Year-Full Year'!C11</f>
        <v>Lenten Offerings</v>
      </c>
      <c r="E11" s="40">
        <f>+'New Year-Full Year'!O11</f>
        <v>2800</v>
      </c>
      <c r="F11" s="40">
        <f>+'New Year-Full Year'!P11</f>
        <v>3000</v>
      </c>
      <c r="G11" s="6">
        <f t="shared" si="0"/>
        <v>-6.6666666666666666E-2</v>
      </c>
      <c r="I11" s="40">
        <f>+'New Year-Full Year'!T11</f>
        <v>2864</v>
      </c>
      <c r="J11" s="40">
        <f>+'New Year-Full Year'!U11</f>
        <v>3000</v>
      </c>
      <c r="K11" s="6">
        <f t="shared" si="1"/>
        <v>-4.5333333333333337E-2</v>
      </c>
    </row>
    <row r="12" spans="1:11">
      <c r="A12" s="47">
        <v>8</v>
      </c>
      <c r="B12" s="12" t="s">
        <v>6</v>
      </c>
      <c r="C12" s="12"/>
      <c r="D12" s="12"/>
      <c r="E12" s="12">
        <f>SUM(E7:E11)</f>
        <v>502300</v>
      </c>
      <c r="F12" s="12">
        <f>SUM(F7:F11)</f>
        <v>513000</v>
      </c>
      <c r="G12" s="13">
        <f t="shared" si="0"/>
        <v>-2.0857699805068228E-2</v>
      </c>
      <c r="I12" s="12">
        <f>SUM(I7:I11)</f>
        <v>394482.6</v>
      </c>
      <c r="J12" s="12">
        <f>SUM(J7:J11)</f>
        <v>402547.15</v>
      </c>
      <c r="K12" s="13">
        <f t="shared" si="1"/>
        <v>-2.0033802251487921E-2</v>
      </c>
    </row>
    <row r="13" spans="1:11" ht="5.25" customHeight="1">
      <c r="A13" s="47">
        <v>9</v>
      </c>
      <c r="G13" s="42"/>
    </row>
    <row r="14" spans="1:11">
      <c r="A14" s="47">
        <v>10</v>
      </c>
      <c r="B14" s="4" t="s">
        <v>7</v>
      </c>
      <c r="G14" s="42"/>
    </row>
    <row r="15" spans="1:11">
      <c r="A15" s="47">
        <v>11</v>
      </c>
      <c r="C15" s="1" t="str">
        <f>+'New Year-Full Year'!C15</f>
        <v>Loose Offerings</v>
      </c>
      <c r="E15" s="40">
        <f>+'New Year-Full Year'!O15</f>
        <v>11000</v>
      </c>
      <c r="F15" s="40">
        <f>+'New Year-Full Year'!P15</f>
        <v>8500</v>
      </c>
      <c r="G15" s="6">
        <f t="shared" ref="G15:G21" si="2">IF(F15=0,"NA",(+E15-F15)/F15)</f>
        <v>0.29411764705882354</v>
      </c>
      <c r="I15" s="40">
        <f>+'New Year-Full Year'!T15</f>
        <v>6879.42</v>
      </c>
      <c r="J15" s="40">
        <f>+'New Year-Full Year'!U15</f>
        <v>5291.84</v>
      </c>
      <c r="K15" s="6">
        <f t="shared" ref="K15:K21" si="3">IF(J15=0,"NA",(+I15-J15)/J15)</f>
        <v>0.30000529116526575</v>
      </c>
    </row>
    <row r="16" spans="1:11">
      <c r="A16" s="47">
        <v>12</v>
      </c>
      <c r="C16" s="1" t="str">
        <f>+'New Year-Full Year'!C16</f>
        <v>Misc Income</v>
      </c>
      <c r="E16" s="40">
        <f>+'New Year-Full Year'!O16</f>
        <v>0</v>
      </c>
      <c r="F16" s="40">
        <f>+'New Year-Full Year'!P16</f>
        <v>0</v>
      </c>
      <c r="G16" s="6" t="str">
        <f t="shared" si="2"/>
        <v>NA</v>
      </c>
      <c r="I16" s="40">
        <f>+'New Year-Full Year'!T16</f>
        <v>4044</v>
      </c>
      <c r="J16" s="40">
        <f>+'New Year-Full Year'!U16</f>
        <v>0</v>
      </c>
      <c r="K16" s="6" t="str">
        <f t="shared" si="3"/>
        <v>NA</v>
      </c>
    </row>
    <row r="17" spans="1:11" hidden="1">
      <c r="A17" s="47">
        <v>13</v>
      </c>
      <c r="C17" s="1" t="str">
        <f>+'New Year-Full Year'!C17</f>
        <v>Special Appeal</v>
      </c>
      <c r="E17" s="40">
        <f>+'New Year-Full Year'!O17</f>
        <v>0</v>
      </c>
      <c r="F17" s="40">
        <f>+'New Year-Full Year'!P17</f>
        <v>0</v>
      </c>
      <c r="G17" s="6" t="str">
        <f t="shared" si="2"/>
        <v>NA</v>
      </c>
      <c r="I17" s="40">
        <f>+'New Year-Full Year'!T17</f>
        <v>0</v>
      </c>
      <c r="J17" s="40">
        <f>+'New Year-Full Year'!U17</f>
        <v>0</v>
      </c>
      <c r="K17" s="6" t="str">
        <f t="shared" si="3"/>
        <v>NA</v>
      </c>
    </row>
    <row r="18" spans="1:11">
      <c r="A18" s="47">
        <v>14</v>
      </c>
      <c r="C18" s="1" t="str">
        <f>+'New Year-Full Year'!C18</f>
        <v>Current Investment Income</v>
      </c>
      <c r="E18" s="40">
        <f>+'New Year-Full Year'!O18</f>
        <v>0</v>
      </c>
      <c r="F18" s="40">
        <f>+'New Year-Full Year'!P18</f>
        <v>0</v>
      </c>
      <c r="G18" s="6" t="str">
        <f t="shared" si="2"/>
        <v>NA</v>
      </c>
      <c r="I18" s="40">
        <f>+'New Year-Full Year'!T18</f>
        <v>2.83</v>
      </c>
      <c r="J18" s="40">
        <f>+'New Year-Full Year'!U18</f>
        <v>0</v>
      </c>
      <c r="K18" s="6" t="str">
        <f t="shared" si="3"/>
        <v>NA</v>
      </c>
    </row>
    <row r="19" spans="1:11">
      <c r="A19" s="47">
        <v>15</v>
      </c>
      <c r="C19" s="1" t="str">
        <f>+'New Year-Full Year'!C19</f>
        <v>Clearing Account</v>
      </c>
      <c r="E19" s="40">
        <f>+'New Year-Full Year'!O19</f>
        <v>0</v>
      </c>
      <c r="F19" s="40">
        <f>+'New Year-Full Year'!P19</f>
        <v>0</v>
      </c>
      <c r="G19" s="6" t="str">
        <f t="shared" si="2"/>
        <v>NA</v>
      </c>
      <c r="I19" s="40">
        <f>+'New Year-Full Year'!T19</f>
        <v>3780</v>
      </c>
      <c r="J19" s="40">
        <f>+'New Year-Full Year'!U19</f>
        <v>0</v>
      </c>
      <c r="K19" s="6" t="str">
        <f t="shared" si="3"/>
        <v>NA</v>
      </c>
    </row>
    <row r="20" spans="1:11">
      <c r="A20" s="47">
        <v>16</v>
      </c>
      <c r="B20" s="12" t="s">
        <v>10</v>
      </c>
      <c r="C20" s="12"/>
      <c r="D20" s="12"/>
      <c r="E20" s="12">
        <f>SUM(E15:E19)</f>
        <v>11000</v>
      </c>
      <c r="F20" s="12">
        <f>SUM(F15:F19)</f>
        <v>8500</v>
      </c>
      <c r="G20" s="13">
        <f t="shared" si="2"/>
        <v>0.29411764705882354</v>
      </c>
      <c r="I20" s="12">
        <f>SUM(I15:I19)</f>
        <v>14706.25</v>
      </c>
      <c r="J20" s="12">
        <f>SUM(J15:J19)</f>
        <v>5291.84</v>
      </c>
      <c r="K20" s="13">
        <f t="shared" si="3"/>
        <v>1.7790428282034225</v>
      </c>
    </row>
    <row r="21" spans="1:11">
      <c r="A21" s="47">
        <v>17</v>
      </c>
      <c r="B21" s="12" t="s">
        <v>12</v>
      </c>
      <c r="C21" s="12"/>
      <c r="D21" s="12"/>
      <c r="E21" s="12">
        <f>+E12+E20</f>
        <v>513300</v>
      </c>
      <c r="F21" s="12">
        <f>+F12+F20</f>
        <v>521500</v>
      </c>
      <c r="G21" s="13">
        <f t="shared" si="2"/>
        <v>-1.5723873441994246E-2</v>
      </c>
      <c r="I21" s="12">
        <f>+I12+I20</f>
        <v>409188.85</v>
      </c>
      <c r="J21" s="12">
        <f>+J12+J20</f>
        <v>407838.99000000005</v>
      </c>
      <c r="K21" s="13">
        <f t="shared" si="3"/>
        <v>3.3097865410070962E-3</v>
      </c>
    </row>
    <row r="22" spans="1:11" ht="6" customHeight="1">
      <c r="A22" s="47">
        <v>18</v>
      </c>
      <c r="G22" s="42"/>
    </row>
    <row r="23" spans="1:11" ht="18.5">
      <c r="A23" s="47">
        <v>19</v>
      </c>
      <c r="B23" s="9" t="s">
        <v>13</v>
      </c>
      <c r="G23" s="42"/>
    </row>
    <row r="24" spans="1:11" s="4" customFormat="1">
      <c r="A24" s="47">
        <v>26</v>
      </c>
      <c r="B24" s="14"/>
      <c r="C24" s="15" t="s">
        <v>97</v>
      </c>
      <c r="D24" s="14"/>
      <c r="E24" s="14">
        <f>+'New Year-Full Year'!O29</f>
        <v>51330</v>
      </c>
      <c r="F24" s="14">
        <f>+'New Year-Full Year'!P29</f>
        <v>52150</v>
      </c>
      <c r="G24" s="16">
        <f>IF(F24=0,"NA",(+E24-F24)/F24)</f>
        <v>-1.5723873441994246E-2</v>
      </c>
      <c r="H24" s="1"/>
      <c r="I24" s="14">
        <f>+'New Year-Full Year'!T29</f>
        <v>38699.97</v>
      </c>
      <c r="J24" s="14">
        <f>+'New Year-Full Year'!U29</f>
        <v>39112.44</v>
      </c>
      <c r="K24" s="16">
        <f>IF(J24=0,"NA",(+I24-J24)/J24)</f>
        <v>-1.0545749638733896E-2</v>
      </c>
    </row>
    <row r="25" spans="1:11" s="4" customFormat="1" ht="6.75" customHeight="1">
      <c r="A25" s="47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.5">
      <c r="A26" s="47">
        <v>28</v>
      </c>
      <c r="B26" s="21" t="s">
        <v>66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>
      <c r="A27" s="47">
        <v>29</v>
      </c>
      <c r="B27" s="4" t="s">
        <v>17</v>
      </c>
      <c r="G27" s="42"/>
    </row>
    <row r="28" spans="1:11">
      <c r="A28" s="47">
        <v>30</v>
      </c>
      <c r="C28" s="1" t="str">
        <f>+'New Year-Full Year'!C33</f>
        <v>Sunday School</v>
      </c>
      <c r="E28" s="40">
        <f>+'New Year-Full Year'!O33</f>
        <v>2000</v>
      </c>
      <c r="F28" s="40">
        <f>+'New Year-Full Year'!P33</f>
        <v>2000</v>
      </c>
      <c r="G28" s="6">
        <f t="shared" ref="G28:G35" si="4">IF(F28=0,"NA",(+E28-F28)/F28)</f>
        <v>0</v>
      </c>
      <c r="I28" s="40">
        <f>+'New Year-Full Year'!T33</f>
        <v>691.17</v>
      </c>
      <c r="J28" s="40">
        <f>+'New Year-Full Year'!U33</f>
        <v>1500.03</v>
      </c>
      <c r="K28" s="6">
        <f t="shared" ref="K28:K35" si="5">IF(J28=0,"NA",(+I28-J28)/J28)</f>
        <v>-0.53922921541569169</v>
      </c>
    </row>
    <row r="29" spans="1:11">
      <c r="A29" s="47">
        <v>31</v>
      </c>
      <c r="C29" s="1" t="str">
        <f>+'New Year-Full Year'!C34</f>
        <v>Confirmation</v>
      </c>
      <c r="E29" s="40">
        <f>+'New Year-Full Year'!O34</f>
        <v>1000</v>
      </c>
      <c r="F29" s="40">
        <f>+'New Year-Full Year'!P34</f>
        <v>1000</v>
      </c>
      <c r="G29" s="6">
        <f t="shared" si="4"/>
        <v>0</v>
      </c>
      <c r="I29" s="40">
        <f>+'New Year-Full Year'!T34</f>
        <v>218.33</v>
      </c>
      <c r="J29" s="40">
        <f>+'New Year-Full Year'!U34</f>
        <v>749.97</v>
      </c>
      <c r="K29" s="6">
        <f t="shared" si="5"/>
        <v>-0.7088816886008773</v>
      </c>
    </row>
    <row r="30" spans="1:11">
      <c r="A30" s="47">
        <v>32</v>
      </c>
      <c r="C30" s="1" t="str">
        <f>+'New Year-Full Year'!C35</f>
        <v>Summer Bible School</v>
      </c>
      <c r="E30" s="40">
        <f>+'New Year-Full Year'!O35</f>
        <v>1000</v>
      </c>
      <c r="F30" s="40">
        <f>+'New Year-Full Year'!P35</f>
        <v>500</v>
      </c>
      <c r="G30" s="6">
        <f t="shared" si="4"/>
        <v>1</v>
      </c>
      <c r="I30" s="40">
        <f>+'New Year-Full Year'!T35</f>
        <v>0</v>
      </c>
      <c r="J30" s="40">
        <f>+'New Year-Full Year'!U35</f>
        <v>500</v>
      </c>
      <c r="K30" s="6">
        <f t="shared" si="5"/>
        <v>-1</v>
      </c>
    </row>
    <row r="31" spans="1:11">
      <c r="A31" s="47">
        <v>33</v>
      </c>
      <c r="C31" s="1" t="str">
        <f>+'New Year-Full Year'!C36</f>
        <v>Library</v>
      </c>
      <c r="E31" s="40">
        <f>+'New Year-Full Year'!O36</f>
        <v>300</v>
      </c>
      <c r="F31" s="40">
        <f>+'New Year-Full Year'!P36</f>
        <v>200</v>
      </c>
      <c r="G31" s="6">
        <f t="shared" si="4"/>
        <v>0.5</v>
      </c>
      <c r="I31" s="40">
        <f>+'New Year-Full Year'!T36</f>
        <v>0</v>
      </c>
      <c r="J31" s="40">
        <f>+'New Year-Full Year'!U36</f>
        <v>150.03</v>
      </c>
      <c r="K31" s="6">
        <f t="shared" si="5"/>
        <v>-1</v>
      </c>
    </row>
    <row r="32" spans="1:11">
      <c r="A32" s="47">
        <v>34</v>
      </c>
      <c r="C32" s="1" t="str">
        <f>+'New Year-Full Year'!C37</f>
        <v>First Communion</v>
      </c>
      <c r="E32" s="40">
        <f>+'New Year-Full Year'!O37</f>
        <v>200</v>
      </c>
      <c r="F32" s="40">
        <f>+'New Year-Full Year'!P37</f>
        <v>200</v>
      </c>
      <c r="G32" s="6">
        <f t="shared" si="4"/>
        <v>0</v>
      </c>
      <c r="I32" s="40">
        <f>+'New Year-Full Year'!T37</f>
        <v>63.83</v>
      </c>
      <c r="J32" s="40">
        <f>+'New Year-Full Year'!U37</f>
        <v>200</v>
      </c>
      <c r="K32" s="6">
        <f t="shared" si="5"/>
        <v>-0.68085000000000007</v>
      </c>
    </row>
    <row r="33" spans="1:11">
      <c r="C33" s="1" t="str">
        <f>+'New Year-Full Year'!C38</f>
        <v>Adult Education</v>
      </c>
      <c r="E33" s="40">
        <f>+'New Year-Full Year'!O38</f>
        <v>750</v>
      </c>
      <c r="F33" s="40">
        <f>+'New Year-Full Year'!P38</f>
        <v>750</v>
      </c>
      <c r="G33" s="6">
        <f t="shared" si="4"/>
        <v>0</v>
      </c>
      <c r="I33" s="40">
        <f>+'New Year-Full Year'!T38</f>
        <v>71.900000000000006</v>
      </c>
      <c r="J33" s="40">
        <f>+'New Year-Full Year'!U38</f>
        <v>562.5</v>
      </c>
      <c r="K33" s="6">
        <f t="shared" ref="K33" si="6">IF(J33=0,"NA",(+I33-J33)/J33)</f>
        <v>-0.87217777777777783</v>
      </c>
    </row>
    <row r="34" spans="1:11">
      <c r="A34" s="47">
        <v>35</v>
      </c>
      <c r="C34" s="1" t="str">
        <f>+'New Year-Full Year'!C39</f>
        <v>Cradle Roll</v>
      </c>
      <c r="E34" s="40">
        <f>+'New Year-Full Year'!O39</f>
        <v>200</v>
      </c>
      <c r="F34" s="40">
        <f>+'New Year-Full Year'!P39</f>
        <v>200</v>
      </c>
      <c r="G34" s="6">
        <f t="shared" si="4"/>
        <v>0</v>
      </c>
      <c r="I34" s="40">
        <f>+'New Year-Full Year'!T39</f>
        <v>0</v>
      </c>
      <c r="J34" s="40">
        <f>+'New Year-Full Year'!U39</f>
        <v>200</v>
      </c>
      <c r="K34" s="6">
        <f t="shared" si="5"/>
        <v>-1</v>
      </c>
    </row>
    <row r="35" spans="1:11" s="4" customFormat="1">
      <c r="A35" s="47">
        <v>36</v>
      </c>
      <c r="B35" s="39" t="s">
        <v>21</v>
      </c>
      <c r="C35" s="39"/>
      <c r="D35" s="39"/>
      <c r="E35" s="39">
        <f>SUM(E28:E34)</f>
        <v>5450</v>
      </c>
      <c r="F35" s="39">
        <f>SUM(F28:F34)</f>
        <v>4850</v>
      </c>
      <c r="G35" s="23">
        <f t="shared" si="4"/>
        <v>0.12371134020618557</v>
      </c>
      <c r="I35" s="39">
        <f>SUM(I28:I34)</f>
        <v>1045.23</v>
      </c>
      <c r="J35" s="39">
        <f>SUM(J28:J34)</f>
        <v>3862.53</v>
      </c>
      <c r="K35" s="23">
        <f t="shared" si="5"/>
        <v>-0.72939239306879167</v>
      </c>
    </row>
    <row r="36" spans="1:11" ht="6" customHeight="1">
      <c r="A36" s="47">
        <v>37</v>
      </c>
      <c r="G36" s="42"/>
    </row>
    <row r="37" spans="1:11">
      <c r="A37" s="47">
        <v>40</v>
      </c>
      <c r="B37" s="4" t="s">
        <v>169</v>
      </c>
      <c r="G37" s="42"/>
    </row>
    <row r="38" spans="1:11">
      <c r="A38" s="47">
        <v>41</v>
      </c>
      <c r="C38" s="1" t="str">
        <f>+'New Year-Full Year'!C43</f>
        <v>Worship Supplies</v>
      </c>
      <c r="E38" s="40">
        <f>+'New Year-Full Year'!O43</f>
        <v>5000</v>
      </c>
      <c r="F38" s="40">
        <f>+'New Year-Full Year'!P43</f>
        <v>5000</v>
      </c>
      <c r="G38" s="6">
        <f>IF(F38=0,"NA",(+E38-F38)/F38)</f>
        <v>0</v>
      </c>
      <c r="I38" s="40">
        <f>+'New Year-Full Year'!T43</f>
        <v>3384.9</v>
      </c>
      <c r="J38" s="40">
        <f>+'New Year-Full Year'!U43</f>
        <v>3750.03</v>
      </c>
      <c r="K38" s="6">
        <f>IF(J38=0,"NA",(+I38-J38)/J38)</f>
        <v>-9.7367221062231529E-2</v>
      </c>
    </row>
    <row r="39" spans="1:11">
      <c r="A39" s="47">
        <v>43</v>
      </c>
      <c r="C39" s="1" t="str">
        <f>+'New Year-Full Year'!C45</f>
        <v>Children's Services</v>
      </c>
      <c r="E39" s="40">
        <f>+'New Year-Full Year'!O45</f>
        <v>100</v>
      </c>
      <c r="F39" s="40">
        <f>+'New Year-Full Year'!P45</f>
        <v>100</v>
      </c>
      <c r="G39" s="6">
        <f>IF(F39=0,"NA",(+E39-F39)/F39)</f>
        <v>0</v>
      </c>
      <c r="I39" s="40">
        <f>+'New Year-Full Year'!T45</f>
        <v>89.1</v>
      </c>
      <c r="J39" s="40">
        <f>+'New Year-Full Year'!U45</f>
        <v>74.97</v>
      </c>
      <c r="K39" s="6">
        <f>IF(J39=0,"NA",(+I39-J39)/J39)</f>
        <v>0.18847539015606238</v>
      </c>
    </row>
    <row r="40" spans="1:11">
      <c r="A40" s="47">
        <v>44</v>
      </c>
      <c r="C40" s="1" t="str">
        <f>+'New Year-Full Year'!C46</f>
        <v>Flowers</v>
      </c>
      <c r="E40" s="40">
        <f>+'New Year-Full Year'!O46</f>
        <v>200</v>
      </c>
      <c r="F40" s="40">
        <f>+'New Year-Full Year'!P46</f>
        <v>200</v>
      </c>
      <c r="G40" s="6">
        <f>IF(F40=0,"NA",(+E40-F40)/F40)</f>
        <v>0</v>
      </c>
      <c r="I40" s="40">
        <f>+'New Year-Full Year'!T46</f>
        <v>-65</v>
      </c>
      <c r="J40" s="40">
        <f>+'New Year-Full Year'!U46</f>
        <v>150.03</v>
      </c>
      <c r="K40" s="6">
        <f>IF(J40=0,"NA",(+I40-J40)/J40)</f>
        <v>-1.4332466839965341</v>
      </c>
    </row>
    <row r="41" spans="1:11" s="4" customFormat="1">
      <c r="A41" s="47">
        <v>45</v>
      </c>
      <c r="B41" s="39" t="s">
        <v>170</v>
      </c>
      <c r="C41" s="39"/>
      <c r="D41" s="39"/>
      <c r="E41" s="39">
        <f>SUM(E38:E40)</f>
        <v>5300</v>
      </c>
      <c r="F41" s="39">
        <f>SUM(F38:F40)</f>
        <v>5300</v>
      </c>
      <c r="G41" s="23">
        <f>IF(F41=0,"NA",(+E41-F41)/F41)</f>
        <v>0</v>
      </c>
      <c r="I41" s="39">
        <f>SUM(I38:I40)</f>
        <v>3409</v>
      </c>
      <c r="J41" s="39">
        <f>SUM(J38:J40)</f>
        <v>3975.03</v>
      </c>
      <c r="K41" s="23">
        <f>IF(J41=0,"NA",(+I41-J41)/J41)</f>
        <v>-0.14239640958684593</v>
      </c>
    </row>
    <row r="42" spans="1:11" ht="6.75" customHeight="1">
      <c r="A42" s="47">
        <v>46</v>
      </c>
      <c r="G42" s="42"/>
    </row>
    <row r="43" spans="1:11" s="4" customFormat="1">
      <c r="A43" s="47">
        <v>51</v>
      </c>
      <c r="B43" s="39" t="s">
        <v>25</v>
      </c>
      <c r="C43" s="39"/>
      <c r="D43" s="39"/>
      <c r="E43" s="39">
        <f>+'New Year-Full Year'!O49</f>
        <v>12800</v>
      </c>
      <c r="F43" s="39">
        <f>+'New Year-Full Year'!P49</f>
        <v>12800</v>
      </c>
      <c r="G43" s="23">
        <f>IF(F43=0,"NA",(+E43-F43)/F43)</f>
        <v>0</v>
      </c>
      <c r="I43" s="39">
        <f>+'New Year-Full Year'!T49</f>
        <v>6409.81</v>
      </c>
      <c r="J43" s="39">
        <f>+'New Year-Full Year'!U49</f>
        <v>11660</v>
      </c>
      <c r="K43" s="23">
        <f>IF(J43=0,"NA",(+I43-J43)/J43)</f>
        <v>-0.45027358490566033</v>
      </c>
    </row>
    <row r="44" spans="1:11" ht="6.75" customHeight="1">
      <c r="A44" s="47">
        <v>52</v>
      </c>
      <c r="G44" s="42"/>
    </row>
    <row r="45" spans="1:11">
      <c r="A45" s="47">
        <v>53</v>
      </c>
      <c r="B45" s="4" t="s">
        <v>98</v>
      </c>
      <c r="G45" s="42"/>
    </row>
    <row r="46" spans="1:11">
      <c r="A46" s="47">
        <v>54</v>
      </c>
      <c r="C46" s="1" t="str">
        <f>+'New Year-Full Year'!C52</f>
        <v>Church Membership Activities</v>
      </c>
      <c r="E46" s="40">
        <f>+'New Year-Full Year'!O52</f>
        <v>400</v>
      </c>
      <c r="F46" s="40">
        <f>+'New Year-Full Year'!P52</f>
        <v>400</v>
      </c>
      <c r="G46" s="6">
        <f>IF(F46=0,"NA",(+E46-F46)/F46)</f>
        <v>0</v>
      </c>
      <c r="I46" s="40">
        <f>+'New Year-Full Year'!T52</f>
        <v>285.16000000000003</v>
      </c>
      <c r="J46" s="40">
        <f>+'New Year-Full Year'!U52</f>
        <v>299.97000000000003</v>
      </c>
      <c r="K46" s="6">
        <f>IF(J46=0,"NA",(+I46-J46)/J46)</f>
        <v>-4.9371603827049373E-2</v>
      </c>
    </row>
    <row r="47" spans="1:11">
      <c r="A47" s="47">
        <v>55</v>
      </c>
      <c r="C47" s="1" t="str">
        <f>+'New Year-Full Year'!C53</f>
        <v>Sunday Coffee</v>
      </c>
      <c r="E47" s="40">
        <f>+'New Year-Full Year'!O53</f>
        <v>150</v>
      </c>
      <c r="F47" s="40">
        <f>+'New Year-Full Year'!P53</f>
        <v>150</v>
      </c>
      <c r="G47" s="6">
        <f>IF(F47=0,"NA",(+E47-F47)/F47)</f>
        <v>0</v>
      </c>
      <c r="I47" s="40">
        <f>+'New Year-Full Year'!T53</f>
        <v>0</v>
      </c>
      <c r="J47" s="40">
        <f>+'New Year-Full Year'!U53</f>
        <v>112.5</v>
      </c>
      <c r="K47" s="6">
        <f>IF(J47=0,"NA",(+I47-J47)/J47)</f>
        <v>-1</v>
      </c>
    </row>
    <row r="48" spans="1:11" s="4" customFormat="1">
      <c r="A48" s="47">
        <v>56</v>
      </c>
      <c r="B48" s="39" t="s">
        <v>94</v>
      </c>
      <c r="C48" s="39"/>
      <c r="D48" s="39"/>
      <c r="E48" s="39">
        <f>SUM(E46:E47)</f>
        <v>550</v>
      </c>
      <c r="F48" s="39">
        <f>SUM(F46:F47)</f>
        <v>550</v>
      </c>
      <c r="G48" s="23">
        <f>IF(F48=0,"NA",(+E48-F48)/F48)</f>
        <v>0</v>
      </c>
      <c r="I48" s="39">
        <f>SUM(I46:I47)</f>
        <v>285.16000000000003</v>
      </c>
      <c r="J48" s="39">
        <f>SUM(J46:J47)</f>
        <v>412.47</v>
      </c>
      <c r="K48" s="23">
        <f>IF(J48=0,"NA",(+I48-J48)/J48)</f>
        <v>-0.3086527505030669</v>
      </c>
    </row>
    <row r="49" spans="1:11" ht="5.25" customHeight="1">
      <c r="A49" s="47">
        <v>57</v>
      </c>
      <c r="G49" s="42"/>
    </row>
    <row r="50" spans="1:11">
      <c r="A50" s="47">
        <v>58</v>
      </c>
      <c r="B50" s="39" t="s">
        <v>26</v>
      </c>
      <c r="C50" s="24"/>
      <c r="D50" s="24"/>
      <c r="E50" s="49">
        <f>+'New Year-Full Year'!O56</f>
        <v>200</v>
      </c>
      <c r="F50" s="49">
        <f>+'New Year-Full Year'!P56</f>
        <v>200</v>
      </c>
      <c r="G50" s="23">
        <f>IF(F50=0,"NA",(+E50-F50)/F50)</f>
        <v>0</v>
      </c>
      <c r="I50" s="49">
        <f>+'New Year-Full Year'!T56</f>
        <v>250</v>
      </c>
      <c r="J50" s="49">
        <f>+'New Year-Full Year'!U56</f>
        <v>200</v>
      </c>
      <c r="K50" s="23">
        <f>IF(J50=0,"NA",(+I50-J50)/J50)</f>
        <v>0.25</v>
      </c>
    </row>
    <row r="51" spans="1:11" ht="6" customHeight="1">
      <c r="A51" s="47">
        <v>59</v>
      </c>
      <c r="G51" s="42"/>
    </row>
    <row r="52" spans="1:11">
      <c r="A52" s="47">
        <v>60</v>
      </c>
      <c r="B52" s="4" t="s">
        <v>27</v>
      </c>
      <c r="G52" s="42"/>
    </row>
    <row r="53" spans="1:11">
      <c r="A53" s="47">
        <v>61</v>
      </c>
      <c r="C53" s="1" t="str">
        <f>+'New Year-Full Year'!C59</f>
        <v>Stewardship</v>
      </c>
      <c r="E53" s="40">
        <f>+'New Year-Full Year'!O59</f>
        <v>200</v>
      </c>
      <c r="F53" s="40">
        <f>+'New Year-Full Year'!P59</f>
        <v>200</v>
      </c>
      <c r="G53" s="6">
        <f t="shared" ref="G53:G59" si="7">IF(F53=0,"NA",(+E53-F53)/F53)</f>
        <v>0</v>
      </c>
      <c r="I53" s="40">
        <f>+'New Year-Full Year'!T59</f>
        <v>0</v>
      </c>
      <c r="J53" s="40">
        <f>+'New Year-Full Year'!U59</f>
        <v>200</v>
      </c>
      <c r="K53" s="6">
        <f t="shared" ref="K53:K59" si="8">IF(J53=0,"NA",(+I53-J53)/J53)</f>
        <v>-1</v>
      </c>
    </row>
    <row r="54" spans="1:11">
      <c r="A54" s="47">
        <v>62</v>
      </c>
      <c r="C54" s="1" t="str">
        <f>+'New Year-Full Year'!C60</f>
        <v>Envelopes, Giving</v>
      </c>
      <c r="E54" s="40">
        <f>+'New Year-Full Year'!O60</f>
        <v>800</v>
      </c>
      <c r="F54" s="40">
        <f>+'New Year-Full Year'!P60</f>
        <v>800</v>
      </c>
      <c r="G54" s="6">
        <f t="shared" si="7"/>
        <v>0</v>
      </c>
      <c r="I54" s="40">
        <f>+'New Year-Full Year'!T60</f>
        <v>0</v>
      </c>
      <c r="J54" s="40">
        <f>+'New Year-Full Year'!U60</f>
        <v>0</v>
      </c>
      <c r="K54" s="6" t="str">
        <f t="shared" si="8"/>
        <v>NA</v>
      </c>
    </row>
    <row r="55" spans="1:11">
      <c r="A55" s="47">
        <v>63</v>
      </c>
      <c r="C55" s="1" t="str">
        <f>+'New Year-Full Year'!C61</f>
        <v>Synod Assembly</v>
      </c>
      <c r="E55" s="40">
        <f>+'New Year-Full Year'!O61</f>
        <v>1000</v>
      </c>
      <c r="F55" s="40">
        <f>+'New Year-Full Year'!P61</f>
        <v>1500</v>
      </c>
      <c r="G55" s="6">
        <f t="shared" si="7"/>
        <v>-0.33333333333333331</v>
      </c>
      <c r="I55" s="40">
        <f>+'New Year-Full Year'!T61</f>
        <v>918.16</v>
      </c>
      <c r="J55" s="40">
        <f>+'New Year-Full Year'!U61</f>
        <v>1500</v>
      </c>
      <c r="K55" s="6">
        <f t="shared" si="8"/>
        <v>-0.38789333333333337</v>
      </c>
    </row>
    <row r="56" spans="1:11">
      <c r="A56" s="47">
        <v>64</v>
      </c>
      <c r="C56" s="1" t="str">
        <f>+'New Year-Full Year'!C62</f>
        <v>Evangelism</v>
      </c>
      <c r="E56" s="40">
        <f>+'New Year-Full Year'!O62</f>
        <v>3000</v>
      </c>
      <c r="F56" s="40">
        <f>+'New Year-Full Year'!P62</f>
        <v>3000</v>
      </c>
      <c r="G56" s="6">
        <f t="shared" si="7"/>
        <v>0</v>
      </c>
      <c r="I56" s="40">
        <f>+'New Year-Full Year'!T62</f>
        <v>1728.11</v>
      </c>
      <c r="J56" s="40">
        <f>+'New Year-Full Year'!U62</f>
        <v>2250</v>
      </c>
      <c r="K56" s="6">
        <f t="shared" si="8"/>
        <v>-0.23195111111111116</v>
      </c>
    </row>
    <row r="57" spans="1:11">
      <c r="C57" s="1" t="str">
        <f>+'New Year-Full Year'!C63</f>
        <v>Misc Expenses</v>
      </c>
      <c r="E57" s="40">
        <f>+'New Year-Full Year'!O63</f>
        <v>200</v>
      </c>
      <c r="F57" s="40">
        <f>+'New Year-Full Year'!P63</f>
        <v>200</v>
      </c>
      <c r="G57" s="6">
        <f t="shared" ref="G57" si="9">IF(F57=0,"NA",(+E57-F57)/F57)</f>
        <v>0</v>
      </c>
      <c r="I57" s="40">
        <f>+'New Year-Full Year'!T63</f>
        <v>50</v>
      </c>
      <c r="J57" s="40">
        <f>+'New Year-Full Year'!U63</f>
        <v>150.03</v>
      </c>
      <c r="K57" s="6">
        <f t="shared" ref="K57" si="10">IF(J57=0,"NA",(+I57-J57)/J57)</f>
        <v>-0.66673332000266616</v>
      </c>
    </row>
    <row r="58" spans="1:11">
      <c r="A58" s="47">
        <v>65</v>
      </c>
      <c r="C58" s="1" t="str">
        <f>+'New Year-Full Year'!C65</f>
        <v>Organ/Piano Maintenance</v>
      </c>
      <c r="E58" s="40">
        <f>+'New Year-Full Year'!O65</f>
        <v>1575</v>
      </c>
      <c r="F58" s="40">
        <f>+'New Year-Full Year'!P65</f>
        <v>1000</v>
      </c>
      <c r="G58" s="6">
        <f t="shared" si="7"/>
        <v>0.57499999999999996</v>
      </c>
      <c r="I58" s="40">
        <f>+'New Year-Full Year'!T65</f>
        <v>361.62</v>
      </c>
      <c r="J58" s="40">
        <f>+'New Year-Full Year'!U65</f>
        <v>500</v>
      </c>
      <c r="K58" s="6">
        <f t="shared" si="8"/>
        <v>-0.27676000000000001</v>
      </c>
    </row>
    <row r="59" spans="1:11" s="4" customFormat="1">
      <c r="A59" s="47">
        <v>66</v>
      </c>
      <c r="B59" s="39" t="s">
        <v>32</v>
      </c>
      <c r="C59" s="39"/>
      <c r="D59" s="39"/>
      <c r="E59" s="39">
        <f>SUM(E53:E58)</f>
        <v>6775</v>
      </c>
      <c r="F59" s="39">
        <f>SUM(F53:F58)</f>
        <v>6700</v>
      </c>
      <c r="G59" s="23">
        <f t="shared" si="7"/>
        <v>1.1194029850746268E-2</v>
      </c>
      <c r="I59" s="39">
        <f>SUM(I53:I58)</f>
        <v>3057.89</v>
      </c>
      <c r="J59" s="39">
        <f>SUM(J53:J58)</f>
        <v>4600.03</v>
      </c>
      <c r="K59" s="23">
        <f t="shared" si="8"/>
        <v>-0.33524563970234977</v>
      </c>
    </row>
    <row r="60" spans="1:11" ht="6" customHeight="1">
      <c r="A60" s="47">
        <v>67</v>
      </c>
      <c r="G60" s="42"/>
    </row>
    <row r="61" spans="1:11">
      <c r="A61" s="47">
        <v>68</v>
      </c>
      <c r="B61" s="4" t="s">
        <v>33</v>
      </c>
      <c r="G61" s="42"/>
    </row>
    <row r="62" spans="1:11">
      <c r="A62" s="47">
        <v>69</v>
      </c>
      <c r="C62" s="1" t="str">
        <f>+'New Year-Full Year'!C69</f>
        <v>Office Supplies</v>
      </c>
      <c r="E62" s="40">
        <f>+'New Year-Full Year'!O69</f>
        <v>3500</v>
      </c>
      <c r="F62" s="40">
        <f>+'New Year-Full Year'!P69</f>
        <v>3000</v>
      </c>
      <c r="G62" s="6">
        <f t="shared" ref="G62:G68" si="11">IF(F62=0,"NA",(+E62-F62)/F62)</f>
        <v>0.16666666666666666</v>
      </c>
      <c r="I62" s="40">
        <f>+'New Year-Full Year'!T69</f>
        <v>2709.24</v>
      </c>
      <c r="J62" s="40">
        <f>+'New Year-Full Year'!U69</f>
        <v>2250</v>
      </c>
      <c r="K62" s="6">
        <f t="shared" ref="K62:K68" si="12">IF(J62=0,"NA",(+I62-J62)/J62)</f>
        <v>0.20410666666666658</v>
      </c>
    </row>
    <row r="63" spans="1:11">
      <c r="A63" s="47">
        <v>70</v>
      </c>
      <c r="C63" s="1" t="str">
        <f>+'New Year-Full Year'!C70</f>
        <v>Postage</v>
      </c>
      <c r="E63" s="40">
        <f>+'New Year-Full Year'!O70</f>
        <v>3250</v>
      </c>
      <c r="F63" s="40">
        <f>+'New Year-Full Year'!P70</f>
        <v>3250</v>
      </c>
      <c r="G63" s="6">
        <f t="shared" si="11"/>
        <v>0</v>
      </c>
      <c r="I63" s="40">
        <f>+'New Year-Full Year'!T70</f>
        <v>2430.73</v>
      </c>
      <c r="J63" s="40">
        <f>+'New Year-Full Year'!U70</f>
        <v>2437.4699999999998</v>
      </c>
      <c r="K63" s="6">
        <f t="shared" si="12"/>
        <v>-2.7651622378941205E-3</v>
      </c>
    </row>
    <row r="64" spans="1:11">
      <c r="A64" s="47">
        <v>73</v>
      </c>
      <c r="C64" s="1" t="str">
        <f>+'New Year-Full Year'!C71</f>
        <v>Office Equipment/Computer</v>
      </c>
      <c r="E64" s="40">
        <f>+'New Year-Full Year'!O71</f>
        <v>13000</v>
      </c>
      <c r="F64" s="40">
        <f>+'New Year-Full Year'!P71</f>
        <v>13000</v>
      </c>
      <c r="G64" s="6">
        <f t="shared" si="11"/>
        <v>0</v>
      </c>
      <c r="I64" s="40">
        <f>+'New Year-Full Year'!T71</f>
        <v>11255.91</v>
      </c>
      <c r="J64" s="40">
        <f>+'New Year-Full Year'!U71</f>
        <v>9749.9699999999993</v>
      </c>
      <c r="K64" s="6">
        <f t="shared" si="12"/>
        <v>0.15445585986418425</v>
      </c>
    </row>
    <row r="65" spans="1:13">
      <c r="A65" s="47">
        <v>74</v>
      </c>
      <c r="C65" s="1" t="str">
        <f>+'New Year-Full Year'!C72</f>
        <v>Kitchen Supplies</v>
      </c>
      <c r="E65" s="40">
        <f>+'New Year-Full Year'!O72</f>
        <v>1000</v>
      </c>
      <c r="F65" s="40">
        <f>+'New Year-Full Year'!P72</f>
        <v>700</v>
      </c>
      <c r="G65" s="6">
        <f t="shared" si="11"/>
        <v>0.42857142857142855</v>
      </c>
      <c r="I65" s="40">
        <f>+'New Year-Full Year'!T72</f>
        <v>978.89</v>
      </c>
      <c r="J65" s="40">
        <f>+'New Year-Full Year'!U72</f>
        <v>524.97</v>
      </c>
      <c r="K65" s="6">
        <f t="shared" si="12"/>
        <v>0.86465893289140316</v>
      </c>
    </row>
    <row r="66" spans="1:13">
      <c r="A66" s="47">
        <v>75</v>
      </c>
      <c r="C66" s="1" t="str">
        <f>+'New Year-Full Year'!C73</f>
        <v>Bank Fees</v>
      </c>
      <c r="E66" s="40">
        <f>+'New Year-Full Year'!O73</f>
        <v>1600</v>
      </c>
      <c r="F66" s="40">
        <f>+'New Year-Full Year'!P73</f>
        <v>1000</v>
      </c>
      <c r="G66" s="6">
        <f t="shared" si="11"/>
        <v>0.6</v>
      </c>
      <c r="I66" s="40">
        <f>+'New Year-Full Year'!T73</f>
        <v>1210.48</v>
      </c>
      <c r="J66" s="40">
        <f>+'New Year-Full Year'!U73</f>
        <v>749.97</v>
      </c>
      <c r="K66" s="6">
        <f t="shared" si="12"/>
        <v>0.6140378948491273</v>
      </c>
    </row>
    <row r="67" spans="1:13" s="4" customFormat="1">
      <c r="A67" s="47">
        <v>76</v>
      </c>
      <c r="B67" s="39" t="s">
        <v>40</v>
      </c>
      <c r="C67" s="39"/>
      <c r="D67" s="39"/>
      <c r="E67" s="39">
        <f>SUM(E62:E66)</f>
        <v>22350</v>
      </c>
      <c r="F67" s="39">
        <f>SUM(F62:F66)</f>
        <v>20950</v>
      </c>
      <c r="G67" s="23">
        <f t="shared" si="11"/>
        <v>6.6825775656324582E-2</v>
      </c>
      <c r="I67" s="39">
        <f>SUM(I62:I66)</f>
        <v>18585.249999999996</v>
      </c>
      <c r="J67" s="39">
        <f>SUM(J62:J66)</f>
        <v>15712.379999999997</v>
      </c>
      <c r="K67" s="23">
        <f t="shared" si="12"/>
        <v>0.18284117364778599</v>
      </c>
    </row>
    <row r="68" spans="1:13">
      <c r="A68" s="47">
        <v>77</v>
      </c>
      <c r="B68" s="39" t="s">
        <v>93</v>
      </c>
      <c r="C68" s="25"/>
      <c r="D68" s="25"/>
      <c r="E68" s="39">
        <f>+E35+E41+E43+E50+E59+E67+E48</f>
        <v>53425</v>
      </c>
      <c r="F68" s="39">
        <f>+F35+F41+F43+F50+F59+F67+F48</f>
        <v>51350</v>
      </c>
      <c r="G68" s="23">
        <f t="shared" si="11"/>
        <v>4.0408958130477117E-2</v>
      </c>
      <c r="I68" s="39">
        <f>+I35+I41+I43+I50+I59+I67+I48</f>
        <v>33042.339999999997</v>
      </c>
      <c r="J68" s="39">
        <f>+J35+J41+J43+J50+J59+J67+J48</f>
        <v>40422.44</v>
      </c>
      <c r="K68" s="23">
        <f t="shared" si="12"/>
        <v>-0.18257433247473445</v>
      </c>
    </row>
    <row r="69" spans="1:13" ht="8.25" customHeight="1">
      <c r="A69" s="47">
        <v>78</v>
      </c>
      <c r="G69" s="42"/>
    </row>
    <row r="70" spans="1:13" ht="18.5">
      <c r="A70" s="47">
        <v>79</v>
      </c>
      <c r="B70" s="9" t="s">
        <v>39</v>
      </c>
      <c r="G70" s="42"/>
    </row>
    <row r="71" spans="1:13">
      <c r="A71" s="47">
        <v>81</v>
      </c>
      <c r="C71" s="138" t="s">
        <v>224</v>
      </c>
      <c r="D71" s="138"/>
      <c r="E71" s="40" t="e">
        <f>+'New Year-Full Year'!O$79+'New Year-Full Year'!O$81+'New Year-Full Year'!O$101+'New Year-Full Year'!O$108+'New Year-Full Year'!O$111+'New Year-Full Year'!O$129+'New Year-Full Year'!O$132+'New Year-Full Year'!O$135+'New Year-Full Year'!#REF!+'New Year-Full Year'!O$146+'New Year-Full Year'!O$140+'New Year-Full Year'!O$142+'New Year-Full Year'!O$93</f>
        <v>#REF!</v>
      </c>
      <c r="F71" s="40" t="e">
        <f>+'New Year-Full Year'!P$79+'New Year-Full Year'!P$81+'New Year-Full Year'!P$101+'New Year-Full Year'!P$108+'New Year-Full Year'!P$111+'New Year-Full Year'!P$129+'New Year-Full Year'!P$132+'New Year-Full Year'!P$135+'New Year-Full Year'!#REF!+'New Year-Full Year'!P$146+'New Year-Full Year'!P$140+'New Year-Full Year'!P$142+'New Year-Full Year'!P$93</f>
        <v>#REF!</v>
      </c>
      <c r="G71" s="6" t="e">
        <f>IF(F71=0,"NA",(+E71-F71)/F71)</f>
        <v>#REF!</v>
      </c>
      <c r="I71" s="40" t="e">
        <f>+'New Year-Full Year'!T$79+'New Year-Full Year'!T$81+'New Year-Full Year'!T$101+'New Year-Full Year'!T$108+'New Year-Full Year'!T$111+'New Year-Full Year'!T$129+'New Year-Full Year'!T$132+'New Year-Full Year'!T$135+'New Year-Full Year'!#REF!+'New Year-Full Year'!T$146+'New Year-Full Year'!T$140+'New Year-Full Year'!T$142+'New Year-Full Year'!T$93</f>
        <v>#REF!</v>
      </c>
      <c r="J71" s="40" t="e">
        <f>+'New Year-Full Year'!U$79+'New Year-Full Year'!U$81+'New Year-Full Year'!U$101+'New Year-Full Year'!U$108+'New Year-Full Year'!U$111+'New Year-Full Year'!U$129+'New Year-Full Year'!U$132+'New Year-Full Year'!U$135+'New Year-Full Year'!#REF!+'New Year-Full Year'!U$146+'New Year-Full Year'!U$140+'New Year-Full Year'!U$142+'New Year-Full Year'!U$93</f>
        <v>#REF!</v>
      </c>
      <c r="K71" s="6" t="e">
        <f t="shared" ref="K71:K74" si="13">IF(J71=0,"NA",(+I71-J71)/J71)</f>
        <v>#REF!</v>
      </c>
      <c r="M71" s="53"/>
    </row>
    <row r="72" spans="1:13">
      <c r="A72" s="47">
        <v>83</v>
      </c>
      <c r="C72" s="1" t="s">
        <v>106</v>
      </c>
      <c r="E72" s="40">
        <f>+'New Year-Full Year'!O82+'New Year-Full Year'!O83+'New Year-Full Year'!O84+'New Year-Full Year'!O85+'New Year-Full Year'!O86+'New Year-Full Year'!O89+'New Year-Full Year'!O112+'New Year-Full Year'!O113+'New Year-Full Year'!O114+'New Year-Full Year'!O117+'New Year-Full Year'!O144+'New Year-Full Year'!O145</f>
        <v>37425</v>
      </c>
      <c r="F72" s="40">
        <f>+'New Year-Full Year'!P82+'New Year-Full Year'!P83+'New Year-Full Year'!P84+'New Year-Full Year'!P85+'New Year-Full Year'!P86+'New Year-Full Year'!P89+'New Year-Full Year'!P112+'New Year-Full Year'!P113+'New Year-Full Year'!P114+'New Year-Full Year'!P117+'New Year-Full Year'!P144+'New Year-Full Year'!P145</f>
        <v>52469.926743750009</v>
      </c>
      <c r="G72" s="6">
        <f>IF(F72=0,"NA",(+E72-F72)/F72)</f>
        <v>-0.28673428147185465</v>
      </c>
      <c r="I72" s="40">
        <f>+'New Year-Full Year'!T82+'New Year-Full Year'!T83+'New Year-Full Year'!T84+'New Year-Full Year'!T85+'New Year-Full Year'!T86+'New Year-Full Year'!T89+'New Year-Full Year'!T112+'New Year-Full Year'!T113+'New Year-Full Year'!T114+'New Year-Full Year'!T117+'New Year-Full Year'!T144+'New Year-Full Year'!T145</f>
        <v>29054.639999999999</v>
      </c>
      <c r="J72" s="40">
        <f>+'New Year-Full Year'!U82+'New Year-Full Year'!U83+'New Year-Full Year'!U84+'New Year-Full Year'!U85+'New Year-Full Year'!U86+'New Year-Full Year'!U89+'New Year-Full Year'!U112+'New Year-Full Year'!U113+'New Year-Full Year'!U114+'New Year-Full Year'!U117+'New Year-Full Year'!U144+'New Year-Full Year'!U145</f>
        <v>39135.61</v>
      </c>
      <c r="K72" s="6">
        <f t="shared" si="13"/>
        <v>-0.25759072108496589</v>
      </c>
    </row>
    <row r="73" spans="1:13">
      <c r="A73" s="47">
        <v>84</v>
      </c>
      <c r="C73" s="1" t="s">
        <v>107</v>
      </c>
      <c r="E73" s="40">
        <f>+'New Year-Full Year'!O87+'New Year-Full Year'!O80+'New Year-Full Year'!O97+'New Year-Full Year'!O102+'New Year-Full Year'!O115+'New Year-Full Year'!O116+'New Year-Full Year'!O138+'New Year-Full Year'!O139</f>
        <v>5200</v>
      </c>
      <c r="F73" s="40">
        <f>+'New Year-Full Year'!P87+'New Year-Full Year'!P80+'New Year-Full Year'!P97+'New Year-Full Year'!P102+'New Year-Full Year'!P115+'New Year-Full Year'!P116+'New Year-Full Year'!P138+'New Year-Full Year'!P139</f>
        <v>5050</v>
      </c>
      <c r="G73" s="6">
        <f>IF(F73=0,"NA",(+E73-F73)/F73)</f>
        <v>2.9702970297029702E-2</v>
      </c>
      <c r="I73" s="40">
        <f>+'New Year-Full Year'!T87+'New Year-Full Year'!T80+'New Year-Full Year'!T97+'New Year-Full Year'!T102+'New Year-Full Year'!T115+'New Year-Full Year'!T116+'New Year-Full Year'!T138+'New Year-Full Year'!T139</f>
        <v>1244.3000000000002</v>
      </c>
      <c r="J73" s="40">
        <f>+'New Year-Full Year'!U87+'New Year-Full Year'!U80+'New Year-Full Year'!U97+'New Year-Full Year'!U102+'New Year-Full Year'!U115+'New Year-Full Year'!U116+'New Year-Full Year'!U138+'New Year-Full Year'!U139</f>
        <v>3787.4700000000003</v>
      </c>
      <c r="K73" s="6">
        <f t="shared" si="13"/>
        <v>-0.67146934497170929</v>
      </c>
    </row>
    <row r="74" spans="1:13" s="4" customFormat="1">
      <c r="A74" s="47">
        <v>86</v>
      </c>
      <c r="B74" s="26" t="s">
        <v>110</v>
      </c>
      <c r="C74" s="26"/>
      <c r="D74" s="26"/>
      <c r="E74" s="26" t="e">
        <f>SUM(E71:E73)</f>
        <v>#REF!</v>
      </c>
      <c r="F74" s="26" t="e">
        <f>SUM(F71:F73)</f>
        <v>#REF!</v>
      </c>
      <c r="G74" s="27" t="e">
        <f>IF(F74=0,"NA",(+E74-F74)/F74)</f>
        <v>#REF!</v>
      </c>
      <c r="I74" s="26" t="e">
        <f>SUM(I71:I73)</f>
        <v>#REF!</v>
      </c>
      <c r="J74" s="26" t="e">
        <f>SUM(J71:J73)</f>
        <v>#REF!</v>
      </c>
      <c r="K74" s="27" t="e">
        <f t="shared" si="13"/>
        <v>#REF!</v>
      </c>
    </row>
    <row r="75" spans="1:13" ht="8.25" customHeight="1">
      <c r="A75" s="47">
        <v>129</v>
      </c>
      <c r="G75" s="42"/>
    </row>
    <row r="76" spans="1:13" ht="18.5">
      <c r="A76" s="47">
        <v>130</v>
      </c>
      <c r="B76" s="9" t="s">
        <v>64</v>
      </c>
      <c r="G76" s="42"/>
    </row>
    <row r="77" spans="1:13">
      <c r="A77" s="47">
        <v>131</v>
      </c>
      <c r="B77" s="4" t="s">
        <v>65</v>
      </c>
      <c r="G77" s="42"/>
    </row>
    <row r="78" spans="1:13">
      <c r="A78" s="47">
        <v>132</v>
      </c>
      <c r="C78" s="1" t="str">
        <f>+'New Year-Full Year'!C152</f>
        <v>Electric</v>
      </c>
      <c r="E78" s="40">
        <f>+'New Year-Full Year'!O152</f>
        <v>10500</v>
      </c>
      <c r="F78" s="40">
        <f>+'New Year-Full Year'!P152</f>
        <v>8400</v>
      </c>
      <c r="G78" s="6">
        <f t="shared" ref="G78:G85" si="14">IF(F78=0,"NA",(+E78-F78)/F78)</f>
        <v>0.25</v>
      </c>
      <c r="I78" s="40">
        <f>+'New Year-Full Year'!T152</f>
        <v>7919.19</v>
      </c>
      <c r="J78" s="40">
        <f>+'New Year-Full Year'!U152</f>
        <v>6300</v>
      </c>
      <c r="K78" s="6">
        <f t="shared" ref="K78:K85" si="15">IF(J78=0,"NA",(+I78-J78)/J78)</f>
        <v>0.25701428571428564</v>
      </c>
    </row>
    <row r="79" spans="1:13">
      <c r="A79" s="47">
        <v>133</v>
      </c>
      <c r="C79" s="1" t="str">
        <f>+'New Year-Full Year'!C153</f>
        <v>Gas</v>
      </c>
      <c r="E79" s="40">
        <f>+'New Year-Full Year'!O153</f>
        <v>8160</v>
      </c>
      <c r="F79" s="40">
        <f>+'New Year-Full Year'!P153</f>
        <v>8000</v>
      </c>
      <c r="G79" s="6">
        <f t="shared" si="14"/>
        <v>0.02</v>
      </c>
      <c r="I79" s="40">
        <f>+'New Year-Full Year'!T153</f>
        <v>6112.28</v>
      </c>
      <c r="J79" s="40">
        <f>+'New Year-Full Year'!U153</f>
        <v>6000.03</v>
      </c>
      <c r="K79" s="6">
        <f t="shared" si="15"/>
        <v>1.8708239792134373E-2</v>
      </c>
    </row>
    <row r="80" spans="1:13">
      <c r="A80" s="47">
        <v>134</v>
      </c>
      <c r="C80" s="1" t="str">
        <f>+'New Year-Full Year'!C154</f>
        <v>Telephone (and Internet)</v>
      </c>
      <c r="E80" s="40">
        <f>+'New Year-Full Year'!O154</f>
        <v>4500</v>
      </c>
      <c r="F80" s="40">
        <f>+'New Year-Full Year'!P154</f>
        <v>5000</v>
      </c>
      <c r="G80" s="6">
        <f t="shared" si="14"/>
        <v>-0.1</v>
      </c>
      <c r="I80" s="40">
        <f>+'New Year-Full Year'!T154</f>
        <v>4039.17</v>
      </c>
      <c r="J80" s="40">
        <f>+'New Year-Full Year'!U154</f>
        <v>3750.03</v>
      </c>
      <c r="K80" s="6">
        <f t="shared" si="15"/>
        <v>7.7103383172934581E-2</v>
      </c>
    </row>
    <row r="81" spans="1:11">
      <c r="A81" s="47">
        <v>135</v>
      </c>
      <c r="C81" s="1" t="str">
        <f>+'New Year-Full Year'!C155</f>
        <v>Water</v>
      </c>
      <c r="E81" s="40">
        <f>+'New Year-Full Year'!O155</f>
        <v>816</v>
      </c>
      <c r="F81" s="40">
        <f>+'New Year-Full Year'!P155</f>
        <v>800</v>
      </c>
      <c r="G81" s="6">
        <f t="shared" si="14"/>
        <v>0.02</v>
      </c>
      <c r="I81" s="40">
        <f>+'New Year-Full Year'!T155</f>
        <v>612.57000000000005</v>
      </c>
      <c r="J81" s="40">
        <f>+'New Year-Full Year'!U155</f>
        <v>600</v>
      </c>
      <c r="K81" s="6">
        <f t="shared" si="15"/>
        <v>2.0950000000000083E-2</v>
      </c>
    </row>
    <row r="82" spans="1:11">
      <c r="A82" s="47">
        <v>136</v>
      </c>
      <c r="C82" s="1" t="str">
        <f>+'New Year-Full Year'!C156</f>
        <v>Security</v>
      </c>
      <c r="E82" s="40">
        <f>+'New Year-Full Year'!O156</f>
        <v>300</v>
      </c>
      <c r="F82" s="40">
        <f>+'New Year-Full Year'!P156</f>
        <v>300</v>
      </c>
      <c r="G82" s="6">
        <f t="shared" si="14"/>
        <v>0</v>
      </c>
      <c r="I82" s="40">
        <f>+'New Year-Full Year'!T156</f>
        <v>680.37</v>
      </c>
      <c r="J82" s="40">
        <f>+'New Year-Full Year'!U156</f>
        <v>300</v>
      </c>
      <c r="K82" s="6">
        <f t="shared" si="15"/>
        <v>1.2679</v>
      </c>
    </row>
    <row r="83" spans="1:11">
      <c r="A83" s="47">
        <v>137</v>
      </c>
      <c r="C83" s="1" t="str">
        <f>+'New Year-Full Year'!C157</f>
        <v>Cell Phone</v>
      </c>
      <c r="E83" s="40">
        <f>+'New Year-Full Year'!O157</f>
        <v>1800</v>
      </c>
      <c r="F83" s="40">
        <f>+'New Year-Full Year'!P157</f>
        <v>2000</v>
      </c>
      <c r="G83" s="6">
        <f t="shared" si="14"/>
        <v>-0.1</v>
      </c>
      <c r="I83" s="40">
        <f>+'New Year-Full Year'!T157</f>
        <v>1359.36</v>
      </c>
      <c r="J83" s="40">
        <f>+'New Year-Full Year'!U157</f>
        <v>1500.03</v>
      </c>
      <c r="K83" s="6">
        <f t="shared" si="15"/>
        <v>-9.3778124437511295E-2</v>
      </c>
    </row>
    <row r="84" spans="1:11">
      <c r="A84" s="47">
        <v>138</v>
      </c>
      <c r="C84" s="1" t="str">
        <f>+'New Year-Full Year'!C158</f>
        <v>City Assessment</v>
      </c>
      <c r="E84" s="40">
        <f>+'New Year-Full Year'!O158</f>
        <v>4500</v>
      </c>
      <c r="F84" s="40">
        <f>+'New Year-Full Year'!P158</f>
        <v>4500</v>
      </c>
      <c r="G84" s="6">
        <f t="shared" si="14"/>
        <v>0</v>
      </c>
      <c r="I84" s="40">
        <f>+'New Year-Full Year'!T158</f>
        <v>4242.25</v>
      </c>
      <c r="J84" s="40">
        <f>+'New Year-Full Year'!U158</f>
        <v>4500</v>
      </c>
      <c r="K84" s="6">
        <f t="shared" si="15"/>
        <v>-5.7277777777777775E-2</v>
      </c>
    </row>
    <row r="85" spans="1:11" s="4" customFormat="1">
      <c r="A85" s="47">
        <v>139</v>
      </c>
      <c r="B85" s="29" t="s">
        <v>73</v>
      </c>
      <c r="C85" s="29"/>
      <c r="D85" s="29"/>
      <c r="E85" s="29">
        <f>SUM(E78:E84)</f>
        <v>30576</v>
      </c>
      <c r="F85" s="29">
        <f>SUM(F78:F84)</f>
        <v>29000</v>
      </c>
      <c r="G85" s="30">
        <f t="shared" si="14"/>
        <v>5.4344827586206894E-2</v>
      </c>
      <c r="I85" s="29">
        <f>SUM(I78:I84)</f>
        <v>24965.19</v>
      </c>
      <c r="J85" s="29">
        <f>SUM(J78:J84)</f>
        <v>22950.089999999997</v>
      </c>
      <c r="K85" s="30">
        <f t="shared" si="15"/>
        <v>8.7803577240873676E-2</v>
      </c>
    </row>
    <row r="86" spans="1:11" s="4" customFormat="1" ht="6.75" customHeight="1">
      <c r="A86" s="47">
        <v>140</v>
      </c>
      <c r="B86" s="17"/>
      <c r="C86" s="17"/>
      <c r="D86" s="17"/>
      <c r="E86" s="17"/>
      <c r="F86" s="17"/>
      <c r="G86" s="20"/>
      <c r="I86" s="17"/>
      <c r="J86" s="17"/>
      <c r="K86" s="20"/>
    </row>
    <row r="87" spans="1:11">
      <c r="A87" s="47">
        <v>141</v>
      </c>
      <c r="B87" s="4" t="s">
        <v>74</v>
      </c>
      <c r="G87" s="42"/>
    </row>
    <row r="88" spans="1:11">
      <c r="A88" s="47">
        <v>142</v>
      </c>
      <c r="C88" s="1" t="str">
        <f>+'New Year-Full Year'!C162</f>
        <v>Insurance</v>
      </c>
      <c r="E88" s="40">
        <f>+'New Year-Full Year'!O162</f>
        <v>16899.940000000002</v>
      </c>
      <c r="F88" s="40">
        <f>+'New Year-Full Year'!P162</f>
        <v>14821</v>
      </c>
      <c r="G88" s="6">
        <f t="shared" ref="G88:G95" si="16">IF(F88=0,"NA",(+E88-F88)/F88)</f>
        <v>0.14026988732204321</v>
      </c>
      <c r="I88" s="40">
        <f>+'New Year-Full Year'!T162</f>
        <v>11701</v>
      </c>
      <c r="J88" s="40">
        <f>+'New Year-Full Year'!U162</f>
        <v>11115.75</v>
      </c>
      <c r="K88" s="6">
        <f t="shared" ref="K88:K95" si="17">IF(J88=0,"NA",(+I88-J88)/J88)</f>
        <v>5.2650518408564426E-2</v>
      </c>
    </row>
    <row r="89" spans="1:11">
      <c r="A89" s="47">
        <v>143</v>
      </c>
      <c r="C89" s="1" t="str">
        <f>+'New Year-Full Year'!C163</f>
        <v>Snow Removal</v>
      </c>
      <c r="E89" s="40">
        <f>+'New Year-Full Year'!O163</f>
        <v>4500</v>
      </c>
      <c r="F89" s="40">
        <f>+'New Year-Full Year'!P163</f>
        <v>4000</v>
      </c>
      <c r="G89" s="6">
        <f t="shared" si="16"/>
        <v>0.125</v>
      </c>
      <c r="I89" s="40">
        <f>+'New Year-Full Year'!T163</f>
        <v>4466.5</v>
      </c>
      <c r="J89" s="40">
        <f>+'New Year-Full Year'!U163</f>
        <v>3000</v>
      </c>
      <c r="K89" s="6">
        <f t="shared" si="17"/>
        <v>0.48883333333333334</v>
      </c>
    </row>
    <row r="90" spans="1:11">
      <c r="A90" s="47">
        <v>144</v>
      </c>
      <c r="C90" s="1" t="str">
        <f>+'New Year-Full Year'!C164</f>
        <v>Maint.  Supplies</v>
      </c>
      <c r="E90" s="40">
        <f>+'New Year-Full Year'!O164</f>
        <v>4000</v>
      </c>
      <c r="F90" s="40">
        <f>+'New Year-Full Year'!P164</f>
        <v>4000</v>
      </c>
      <c r="G90" s="6">
        <f t="shared" si="16"/>
        <v>0</v>
      </c>
      <c r="I90" s="40">
        <f>+'New Year-Full Year'!T164</f>
        <v>2920.35</v>
      </c>
      <c r="J90" s="40">
        <f>+'New Year-Full Year'!U164</f>
        <v>2999.97</v>
      </c>
      <c r="K90" s="6">
        <f t="shared" si="17"/>
        <v>-2.654026540265399E-2</v>
      </c>
    </row>
    <row r="91" spans="1:11" ht="15" customHeight="1">
      <c r="A91" s="47">
        <v>145</v>
      </c>
      <c r="C91" s="1" t="str">
        <f>+'New Year-Full Year'!C165</f>
        <v>Maintenance Contracts</v>
      </c>
      <c r="D91" s="88"/>
      <c r="E91" s="40">
        <f>+'New Year-Full Year'!O165</f>
        <v>8000</v>
      </c>
      <c r="F91" s="40">
        <f>+'New Year-Full Year'!P165</f>
        <v>3500</v>
      </c>
      <c r="G91" s="6">
        <f t="shared" si="16"/>
        <v>1.2857142857142858</v>
      </c>
      <c r="I91" s="40">
        <f>+'New Year-Full Year'!T165</f>
        <v>3745.87</v>
      </c>
      <c r="J91" s="40">
        <f>+'New Year-Full Year'!U165</f>
        <v>2625.03</v>
      </c>
      <c r="K91" s="6">
        <f t="shared" si="17"/>
        <v>0.42698178687481653</v>
      </c>
    </row>
    <row r="92" spans="1:11">
      <c r="A92" s="47">
        <v>146</v>
      </c>
      <c r="C92" s="1" t="str">
        <f>+'New Year-Full Year'!C166</f>
        <v>Building Repairs</v>
      </c>
      <c r="E92" s="40">
        <f>+'New Year-Full Year'!O166</f>
        <v>8000</v>
      </c>
      <c r="F92" s="40">
        <f>+'New Year-Full Year'!P166</f>
        <v>7500</v>
      </c>
      <c r="G92" s="6">
        <f t="shared" si="16"/>
        <v>6.6666666666666666E-2</v>
      </c>
      <c r="I92" s="40">
        <f>+'New Year-Full Year'!T166</f>
        <v>9834.35</v>
      </c>
      <c r="J92" s="40">
        <f>+'New Year-Full Year'!U166</f>
        <v>5625</v>
      </c>
      <c r="K92" s="6">
        <f t="shared" si="17"/>
        <v>0.74832888888888893</v>
      </c>
    </row>
    <row r="93" spans="1:11">
      <c r="A93" s="47">
        <v>149</v>
      </c>
      <c r="C93" s="1" t="str">
        <f>+'New Year-Full Year'!C167</f>
        <v>Interest-Line of Credit</v>
      </c>
      <c r="E93" s="40">
        <f>+'New Year-Full Year'!O167</f>
        <v>0</v>
      </c>
      <c r="F93" s="40">
        <f>+'New Year-Full Year'!P167</f>
        <v>0</v>
      </c>
      <c r="G93" s="6" t="str">
        <f t="shared" si="16"/>
        <v>NA</v>
      </c>
      <c r="I93" s="40">
        <f>+'New Year-Full Year'!T167</f>
        <v>0</v>
      </c>
      <c r="J93" s="40">
        <f>+'New Year-Full Year'!U167</f>
        <v>0</v>
      </c>
      <c r="K93" s="6" t="str">
        <f t="shared" si="17"/>
        <v>NA</v>
      </c>
    </row>
    <row r="94" spans="1:11" s="4" customFormat="1">
      <c r="A94" s="47">
        <v>150</v>
      </c>
      <c r="B94" s="29" t="s">
        <v>79</v>
      </c>
      <c r="C94" s="29"/>
      <c r="D94" s="29"/>
      <c r="E94" s="29">
        <f>SUM(E88:E93)</f>
        <v>41399.94</v>
      </c>
      <c r="F94" s="29">
        <f>SUM(F88:F93)</f>
        <v>33821</v>
      </c>
      <c r="G94" s="30">
        <f t="shared" si="16"/>
        <v>0.22408976671298905</v>
      </c>
      <c r="I94" s="29">
        <f>SUM(I88:I93)</f>
        <v>32668.07</v>
      </c>
      <c r="J94" s="29">
        <f>SUM(J88:J93)</f>
        <v>25365.75</v>
      </c>
      <c r="K94" s="30">
        <f t="shared" si="17"/>
        <v>0.28788109951410856</v>
      </c>
    </row>
    <row r="95" spans="1:11">
      <c r="A95" s="47">
        <v>151</v>
      </c>
      <c r="B95" s="29" t="s">
        <v>80</v>
      </c>
      <c r="C95" s="29"/>
      <c r="D95" s="29"/>
      <c r="E95" s="29">
        <f>+E85+E94</f>
        <v>71975.94</v>
      </c>
      <c r="F95" s="29">
        <f>+F85+F94</f>
        <v>62821</v>
      </c>
      <c r="G95" s="30">
        <f t="shared" si="16"/>
        <v>0.14573056780375993</v>
      </c>
      <c r="I95" s="29">
        <f>+I85+I94</f>
        <v>57633.259999999995</v>
      </c>
      <c r="J95" s="29">
        <f>+J85+J94</f>
        <v>48315.839999999997</v>
      </c>
      <c r="K95" s="30">
        <f t="shared" si="17"/>
        <v>0.19284400312609692</v>
      </c>
    </row>
    <row r="96" spans="1:11" ht="4.5" customHeight="1">
      <c r="A96" s="47">
        <v>152</v>
      </c>
      <c r="G96" s="42"/>
    </row>
    <row r="97" spans="1:11" ht="18.5">
      <c r="A97" s="47">
        <v>153</v>
      </c>
      <c r="B97" s="9" t="s">
        <v>81</v>
      </c>
      <c r="G97" s="42"/>
    </row>
    <row r="98" spans="1:11">
      <c r="A98" s="47">
        <v>154</v>
      </c>
      <c r="B98" s="4" t="s">
        <v>82</v>
      </c>
      <c r="G98" s="42"/>
    </row>
    <row r="99" spans="1:11">
      <c r="A99" s="47">
        <v>155</v>
      </c>
      <c r="C99" s="1" t="str">
        <f>'New Year-Full Year'!C173</f>
        <v>Operating Fund Reserve</v>
      </c>
      <c r="E99" s="40">
        <f>SUM('New Year-Full Year'!O173:O173)</f>
        <v>0</v>
      </c>
      <c r="F99" s="40">
        <f>SUM('New Year-Full Year'!P173:P173)</f>
        <v>0</v>
      </c>
      <c r="G99" s="6" t="str">
        <f t="shared" ref="G99:G104" si="18">IF(F99=0,"NA",(+E99-F99)/F99)</f>
        <v>NA</v>
      </c>
      <c r="I99" s="40">
        <f>SUM('New Year-Full Year'!T173:T173)</f>
        <v>0</v>
      </c>
      <c r="J99" s="40">
        <f>SUM('New Year-Full Year'!U173:U173)</f>
        <v>0</v>
      </c>
      <c r="K99" s="6" t="str">
        <f t="shared" ref="K99:K104" si="19">IF(J99=0,"NA",(+I99-J99)/J99)</f>
        <v>NA</v>
      </c>
    </row>
    <row r="100" spans="1:11">
      <c r="A100" s="47">
        <v>156</v>
      </c>
      <c r="C100" s="1" t="str">
        <f>'New Year-Full Year'!C175</f>
        <v>Facilities Fund Reserve</v>
      </c>
      <c r="E100" s="40">
        <f>+'New Year-Full Year'!O175</f>
        <v>12000</v>
      </c>
      <c r="F100" s="40">
        <f>+'New Year-Full Year'!P175</f>
        <v>24378</v>
      </c>
      <c r="G100" s="6">
        <f t="shared" si="18"/>
        <v>-0.50775289195175977</v>
      </c>
      <c r="I100" s="40">
        <f>+'New Year-Full Year'!T175</f>
        <v>0</v>
      </c>
      <c r="J100" s="40">
        <f>+'New Year-Full Year'!U175</f>
        <v>18283.5</v>
      </c>
      <c r="K100" s="6">
        <f t="shared" si="19"/>
        <v>-1</v>
      </c>
    </row>
    <row r="101" spans="1:11">
      <c r="A101" s="47">
        <v>157</v>
      </c>
      <c r="C101" s="1" t="str">
        <f>'New Year-Full Year'!C176</f>
        <v>Facilities Maintenance</v>
      </c>
      <c r="E101" s="40">
        <f>+'New Year-Full Year'!O176</f>
        <v>215</v>
      </c>
      <c r="F101" s="40">
        <f>+'New Year-Full Year'!P176</f>
        <v>5000</v>
      </c>
      <c r="G101" s="6">
        <f t="shared" si="18"/>
        <v>-0.95699999999999996</v>
      </c>
      <c r="I101" s="40">
        <f>+'New Year-Full Year'!T176</f>
        <v>0</v>
      </c>
      <c r="J101" s="40">
        <f>+'New Year-Full Year'!U176</f>
        <v>3750.03</v>
      </c>
      <c r="K101" s="6">
        <f t="shared" si="19"/>
        <v>-1</v>
      </c>
    </row>
    <row r="102" spans="1:11">
      <c r="C102" s="1" t="s">
        <v>219</v>
      </c>
      <c r="E102" s="40">
        <f>+'New Year-Full Year'!O177</f>
        <v>0</v>
      </c>
      <c r="F102" s="40">
        <f>+'New Year-Full Year'!P177</f>
        <v>10000</v>
      </c>
      <c r="G102" s="6">
        <f t="shared" si="18"/>
        <v>-1</v>
      </c>
      <c r="I102" s="40">
        <f>+'New Year-Full Year'!T177</f>
        <v>0</v>
      </c>
      <c r="J102" s="40">
        <f>+'New Year-Full Year'!U177</f>
        <v>7499.97</v>
      </c>
      <c r="K102" s="6">
        <f t="shared" si="19"/>
        <v>-1</v>
      </c>
    </row>
    <row r="103" spans="1:11" hidden="1">
      <c r="A103" s="47">
        <v>158</v>
      </c>
      <c r="C103" s="1" t="str">
        <f>'New Year-Full Year'!C178</f>
        <v>Line of Credit Payment</v>
      </c>
      <c r="E103" s="40">
        <f>+'New Year-Full Year'!O178</f>
        <v>0</v>
      </c>
      <c r="F103" s="40">
        <f>+'New Year-Full Year'!P178</f>
        <v>0</v>
      </c>
      <c r="G103" s="6" t="str">
        <f t="shared" si="18"/>
        <v>NA</v>
      </c>
      <c r="I103" s="40">
        <f>+'New Year-Full Year'!T178</f>
        <v>0</v>
      </c>
      <c r="J103" s="40">
        <f>+'New Year-Full Year'!U178</f>
        <v>0</v>
      </c>
      <c r="K103" s="6" t="str">
        <f t="shared" si="19"/>
        <v>NA</v>
      </c>
    </row>
    <row r="104" spans="1:11" s="4" customFormat="1">
      <c r="A104" s="47">
        <v>159</v>
      </c>
      <c r="B104" s="31" t="s">
        <v>85</v>
      </c>
      <c r="C104" s="31"/>
      <c r="D104" s="31"/>
      <c r="E104" s="31">
        <f>SUM(E99:E103)</f>
        <v>12215</v>
      </c>
      <c r="F104" s="31">
        <f>SUM(F99:F103)</f>
        <v>39378</v>
      </c>
      <c r="G104" s="32">
        <f t="shared" si="18"/>
        <v>-0.68980141195591449</v>
      </c>
      <c r="I104" s="31">
        <f>SUM(I99:I103)</f>
        <v>0</v>
      </c>
      <c r="J104" s="31">
        <f>SUM(J99:J103)</f>
        <v>29533.5</v>
      </c>
      <c r="K104" s="32">
        <f t="shared" si="19"/>
        <v>-1</v>
      </c>
    </row>
    <row r="105" spans="1:11" ht="7.5" customHeight="1">
      <c r="A105" s="47">
        <v>160</v>
      </c>
      <c r="G105" s="42"/>
    </row>
    <row r="106" spans="1:11">
      <c r="A106" s="47">
        <v>161</v>
      </c>
      <c r="B106" s="33" t="s">
        <v>86</v>
      </c>
      <c r="C106" s="34"/>
      <c r="D106" s="34"/>
      <c r="E106" s="33" t="e">
        <f>+E68+E95+E104+E24+E74</f>
        <v>#REF!</v>
      </c>
      <c r="F106" s="33" t="e">
        <f>+F68+F95+F104+F24+F74</f>
        <v>#REF!</v>
      </c>
      <c r="G106" s="35" t="e">
        <f t="shared" ref="G106" si="20">IF(F106=0,"NA",(+E106-F106)/F106)</f>
        <v>#REF!</v>
      </c>
      <c r="I106" s="33" t="e">
        <f>+I68+I95+I104+I24+I74</f>
        <v>#REF!</v>
      </c>
      <c r="J106" s="33" t="e">
        <f>+J68+J95+J104+J24+J74</f>
        <v>#REF!</v>
      </c>
      <c r="K106" s="35" t="e">
        <f>IF(J106=0,"NA",(+I106-J106)/J106)</f>
        <v>#REF!</v>
      </c>
    </row>
    <row r="107" spans="1:11">
      <c r="A107" s="47">
        <v>162</v>
      </c>
      <c r="B107" s="33" t="s">
        <v>87</v>
      </c>
      <c r="C107" s="34"/>
      <c r="D107" s="34"/>
      <c r="E107" s="33" t="e">
        <f>ROUND(+E21-E106,0)</f>
        <v>#REF!</v>
      </c>
      <c r="F107" s="33" t="e">
        <f>ROUND(+F21-F106,0)</f>
        <v>#REF!</v>
      </c>
      <c r="G107" s="52"/>
      <c r="I107" s="33" t="e">
        <f>ROUND(+I21-I106,0)</f>
        <v>#REF!</v>
      </c>
      <c r="J107" s="33" t="e">
        <f>ROUND(+J21-J106,0)</f>
        <v>#REF!</v>
      </c>
      <c r="K107" s="35" t="e">
        <f>IF(J107=0,"NA",(+I107-J107)/J107)</f>
        <v>#REF!</v>
      </c>
    </row>
    <row r="108" spans="1:11" ht="7.25" customHeight="1" thickBot="1">
      <c r="G108" s="42"/>
    </row>
    <row r="109" spans="1:11">
      <c r="B109" s="117" t="s">
        <v>196</v>
      </c>
      <c r="C109" s="118"/>
      <c r="D109" s="118"/>
      <c r="E109" s="134">
        <f>+E7</f>
        <v>490000</v>
      </c>
      <c r="F109" s="134">
        <f>+F7</f>
        <v>500000</v>
      </c>
      <c r="G109" s="122">
        <f t="shared" ref="G109:G111" si="21">IF(F109=0,"NA",(+E109-F109)/F109)</f>
        <v>-0.02</v>
      </c>
      <c r="H109" s="119"/>
      <c r="I109" s="134">
        <f>+I7</f>
        <v>388083.6</v>
      </c>
      <c r="J109" s="134">
        <f>+J7</f>
        <v>395547.15</v>
      </c>
      <c r="K109" s="123">
        <f t="shared" ref="K109:K111" si="22">IF(J109=0,"NA",(+I109-J109)/J109)</f>
        <v>-1.8868926245581712E-2</v>
      </c>
    </row>
    <row r="110" spans="1:11">
      <c r="B110" s="124" t="s">
        <v>177</v>
      </c>
      <c r="C110" s="112"/>
      <c r="D110" s="112"/>
      <c r="E110" s="135" t="e">
        <f>+E106-E104</f>
        <v>#REF!</v>
      </c>
      <c r="F110" s="135" t="e">
        <f>+F106-F104</f>
        <v>#REF!</v>
      </c>
      <c r="G110" s="116" t="e">
        <f t="shared" si="21"/>
        <v>#REF!</v>
      </c>
      <c r="H110" s="113"/>
      <c r="I110" s="135" t="e">
        <f>+I106-I104</f>
        <v>#REF!</v>
      </c>
      <c r="J110" s="135" t="e">
        <f>+J106-J104</f>
        <v>#REF!</v>
      </c>
      <c r="K110" s="125" t="e">
        <f t="shared" si="22"/>
        <v>#REF!</v>
      </c>
    </row>
    <row r="111" spans="1:11" ht="15" thickBot="1">
      <c r="B111" s="126" t="s">
        <v>197</v>
      </c>
      <c r="C111" s="127"/>
      <c r="D111" s="127"/>
      <c r="E111" s="136" t="e">
        <f>+E109-E110</f>
        <v>#REF!</v>
      </c>
      <c r="F111" s="136" t="e">
        <f>+F109-F110</f>
        <v>#REF!</v>
      </c>
      <c r="G111" s="132" t="e">
        <f t="shared" si="21"/>
        <v>#REF!</v>
      </c>
      <c r="H111" s="129"/>
      <c r="I111" s="136" t="e">
        <f>+I109-I110</f>
        <v>#REF!</v>
      </c>
      <c r="J111" s="136" t="e">
        <f>+J109-J110</f>
        <v>#REF!</v>
      </c>
      <c r="K111" s="133" t="e">
        <f t="shared" si="22"/>
        <v>#REF!</v>
      </c>
    </row>
    <row r="112" spans="1:11" ht="5" customHeight="1">
      <c r="G112" s="42"/>
    </row>
    <row r="113" spans="1:11">
      <c r="A113" s="1"/>
      <c r="B113" s="1"/>
      <c r="C113" s="138" t="s">
        <v>225</v>
      </c>
      <c r="D113" s="138"/>
      <c r="E113" s="138"/>
      <c r="F113" s="138"/>
      <c r="G113" s="138"/>
      <c r="H113" s="138"/>
      <c r="I113" s="138"/>
      <c r="J113" s="138"/>
      <c r="K113" s="138"/>
    </row>
    <row r="114" spans="1:11">
      <c r="A114" s="1"/>
      <c r="B114" s="1"/>
      <c r="G114" s="42"/>
      <c r="K114" s="1"/>
    </row>
    <row r="115" spans="1:11">
      <c r="A115" s="1"/>
      <c r="B115" s="1"/>
      <c r="G115" s="42"/>
      <c r="K115" s="1"/>
    </row>
    <row r="116" spans="1:11">
      <c r="A116" s="1"/>
      <c r="B116" s="1"/>
      <c r="G116" s="42"/>
      <c r="K116" s="1"/>
    </row>
    <row r="117" spans="1:11">
      <c r="A117" s="1"/>
      <c r="B117" s="1"/>
      <c r="G117" s="42"/>
      <c r="K117" s="1"/>
    </row>
    <row r="118" spans="1:11">
      <c r="A118" s="1"/>
      <c r="B118" s="1"/>
      <c r="G118" s="42"/>
      <c r="K118" s="1"/>
    </row>
    <row r="119" spans="1:11">
      <c r="A119" s="1"/>
      <c r="B119" s="1"/>
      <c r="G119" s="42"/>
      <c r="K119" s="1"/>
    </row>
  </sheetData>
  <mergeCells count="6">
    <mergeCell ref="C113:K113"/>
    <mergeCell ref="B1:K1"/>
    <mergeCell ref="B2:K2"/>
    <mergeCell ref="I3:K3"/>
    <mergeCell ref="E3:G3"/>
    <mergeCell ref="C71:D71"/>
  </mergeCells>
  <pageMargins left="0" right="0" top="0" bottom="0.75" header="0.3" footer="0.05"/>
  <pageSetup scale="90" fitToHeight="0" orientation="portrait" r:id="rId1"/>
  <headerFooter>
    <oddFooter>&amp;C&amp;P of &amp;N&amp;R&amp;D</oddFooter>
  </headerFooter>
  <rowBreaks count="2" manualBreakCount="2">
    <brk id="51" max="16383" man="1"/>
    <brk id="86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4"/>
  <sheetViews>
    <sheetView showGridLines="0" tabSelected="1" topLeftCell="B3" workbookViewId="0">
      <pane xSplit="13" ySplit="2" topLeftCell="O168" activePane="bottomRight" state="frozen"/>
      <selection activeCell="B3" sqref="B3"/>
      <selection pane="topRight" activeCell="O3" sqref="O3"/>
      <selection pane="bottomLeft" activeCell="B5" sqref="B5"/>
      <selection pane="bottomRight" activeCell="Q177" sqref="Q177"/>
    </sheetView>
  </sheetViews>
  <sheetFormatPr defaultColWidth="9.08984375" defaultRowHeight="14.5" outlineLevelCol="1"/>
  <cols>
    <col min="1" max="1" width="4.453125" style="47" hidden="1" customWidth="1"/>
    <col min="2" max="2" width="4.36328125" style="4" customWidth="1"/>
    <col min="3" max="3" width="9.08984375" style="1"/>
    <col min="4" max="4" width="18.6328125" style="59" customWidth="1"/>
    <col min="5" max="5" width="11.54296875" style="91" hidden="1" customWidth="1" outlineLevel="1"/>
    <col min="6" max="6" width="11.36328125" style="42" hidden="1" customWidth="1" outlineLevel="1"/>
    <col min="7" max="7" width="8.6328125" style="42" hidden="1" customWidth="1" outlineLevel="1"/>
    <col min="8" max="8" width="10" style="42" hidden="1" customWidth="1" outlineLevel="1"/>
    <col min="9" max="9" width="10.6328125" style="42" hidden="1" customWidth="1" outlineLevel="1"/>
    <col min="10" max="10" width="8.08984375" style="42" hidden="1" customWidth="1" outlineLevel="1"/>
    <col min="11" max="11" width="10.36328125" style="42" hidden="1" customWidth="1" outlineLevel="1"/>
    <col min="12" max="12" width="7.08984375" style="42" hidden="1" customWidth="1" outlineLevel="1"/>
    <col min="13" max="13" width="8.36328125" style="42" hidden="1" customWidth="1" outlineLevel="1"/>
    <col min="14" max="14" width="9.6328125" style="1" hidden="1" customWidth="1" outlineLevel="1"/>
    <col min="15" max="15" width="11.08984375" style="1" customWidth="1" collapsed="1"/>
    <col min="16" max="16" width="11.08984375" style="1" customWidth="1"/>
    <col min="17" max="17" width="10.54296875" style="1" customWidth="1"/>
    <col min="18" max="18" width="9.36328125" style="1" customWidth="1"/>
    <col min="19" max="19" width="2.6328125" style="1" customWidth="1"/>
    <col min="20" max="20" width="10.90625" style="1" customWidth="1"/>
    <col min="21" max="21" width="10.453125" style="1" customWidth="1"/>
    <col min="22" max="22" width="9" style="7" customWidth="1"/>
    <col min="23" max="23" width="76.6328125" style="64" customWidth="1"/>
    <col min="24" max="24" width="58.6328125" style="38" hidden="1" customWidth="1"/>
    <col min="25" max="25" width="9.54296875" style="1" bestFit="1" customWidth="1"/>
    <col min="26" max="16384" width="9.08984375" style="1"/>
  </cols>
  <sheetData>
    <row r="1" spans="1:24" ht="41.25" customHeight="1">
      <c r="B1" s="139" t="s">
        <v>91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"/>
    </row>
    <row r="2" spans="1:24" ht="23.25" customHeight="1">
      <c r="O2" s="144" t="s">
        <v>90</v>
      </c>
      <c r="P2" s="145"/>
      <c r="Q2" s="145"/>
      <c r="R2" s="146"/>
      <c r="T2" s="148" t="str">
        <f>Bud_Yr-1&amp;" Year to Date (YTD)"</f>
        <v>2018 Year to Date (YTD)</v>
      </c>
      <c r="U2" s="149"/>
      <c r="V2" s="150"/>
    </row>
    <row r="3" spans="1:24" ht="27.65" customHeight="1">
      <c r="O3" s="159" t="str">
        <f>Bud_Yr&amp;" Budget"</f>
        <v>2019 Budget</v>
      </c>
      <c r="P3" s="161" t="str">
        <f>Bud_Yr-1&amp;" Budget"</f>
        <v>2018 Budget</v>
      </c>
      <c r="Q3" s="151" t="str">
        <f>Bud_Yr&amp;" Budget vs             "&amp;Bud_Yr-1&amp;" Budget"</f>
        <v>2019 Budget vs             2018 Budget</v>
      </c>
      <c r="R3" s="152"/>
      <c r="S3" s="59"/>
      <c r="T3" s="153" t="s">
        <v>227</v>
      </c>
      <c r="U3" s="155" t="s">
        <v>228</v>
      </c>
      <c r="V3" s="157" t="s">
        <v>89</v>
      </c>
    </row>
    <row r="4" spans="1:24" s="4" customFormat="1">
      <c r="A4" s="48"/>
      <c r="D4" s="17"/>
      <c r="E4" s="92"/>
      <c r="F4" s="93"/>
      <c r="G4" s="93"/>
      <c r="H4" s="93"/>
      <c r="I4" s="93"/>
      <c r="J4" s="93"/>
      <c r="K4" s="93"/>
      <c r="L4" s="93"/>
      <c r="M4" s="93"/>
      <c r="O4" s="160"/>
      <c r="P4" s="162"/>
      <c r="Q4" s="58" t="s">
        <v>120</v>
      </c>
      <c r="R4" s="60" t="s">
        <v>121</v>
      </c>
      <c r="T4" s="154"/>
      <c r="U4" s="156"/>
      <c r="V4" s="158"/>
      <c r="W4" s="65" t="str">
        <f>Bud_Yr&amp;" Budget Notes"</f>
        <v>2019 Budget Notes</v>
      </c>
      <c r="X4" s="8" t="s">
        <v>122</v>
      </c>
    </row>
    <row r="5" spans="1:24" s="4" customFormat="1" ht="18.5">
      <c r="A5" s="48"/>
      <c r="B5" s="9" t="s">
        <v>0</v>
      </c>
      <c r="D5" s="17"/>
      <c r="E5" s="92"/>
      <c r="F5" s="93"/>
      <c r="G5" s="93"/>
      <c r="H5" s="93"/>
      <c r="I5" s="93"/>
      <c r="J5" s="93"/>
      <c r="K5" s="93"/>
      <c r="L5" s="93"/>
      <c r="M5" s="93"/>
      <c r="O5" s="10"/>
      <c r="P5" s="11"/>
      <c r="Q5" s="43"/>
      <c r="R5" s="11"/>
      <c r="T5" s="11"/>
      <c r="U5" s="11"/>
      <c r="V5" s="11"/>
      <c r="W5" s="82"/>
      <c r="X5" s="66"/>
    </row>
    <row r="6" spans="1:24">
      <c r="A6" s="47">
        <v>1</v>
      </c>
      <c r="B6" s="4" t="s">
        <v>1</v>
      </c>
      <c r="W6" s="83"/>
      <c r="X6" s="81"/>
    </row>
    <row r="7" spans="1:24">
      <c r="A7" s="47">
        <v>2</v>
      </c>
      <c r="C7" s="315" t="s">
        <v>1</v>
      </c>
      <c r="D7" s="327"/>
      <c r="E7" s="328"/>
      <c r="F7" s="329"/>
      <c r="G7" s="329"/>
      <c r="H7" s="329"/>
      <c r="I7" s="329"/>
      <c r="J7" s="329"/>
      <c r="K7" s="329"/>
      <c r="L7" s="329"/>
      <c r="M7" s="329"/>
      <c r="N7" s="315"/>
      <c r="O7" s="330">
        <f>+P7*0.98</f>
        <v>490000</v>
      </c>
      <c r="P7" s="312">
        <v>500000</v>
      </c>
      <c r="Q7" s="313">
        <f>+O7-P7</f>
        <v>-10000</v>
      </c>
      <c r="R7" s="314">
        <f>IF(P7=0,"NA",(+O7-P7)/P7)</f>
        <v>-0.02</v>
      </c>
      <c r="S7" s="315"/>
      <c r="T7" s="312">
        <v>388083.6</v>
      </c>
      <c r="U7" s="312">
        <v>395547.15</v>
      </c>
      <c r="V7" s="314">
        <f t="shared" ref="V7:V12" si="0">IF(U7=0,"NA",(+T7-U7)/U7)</f>
        <v>-1.8868926245581712E-2</v>
      </c>
      <c r="W7" s="316" t="s">
        <v>193</v>
      </c>
      <c r="X7" s="67" t="s">
        <v>132</v>
      </c>
    </row>
    <row r="8" spans="1:24">
      <c r="A8" s="47">
        <v>4</v>
      </c>
      <c r="C8" s="320" t="s">
        <v>2</v>
      </c>
      <c r="D8" s="331"/>
      <c r="E8" s="332"/>
      <c r="F8" s="333"/>
      <c r="G8" s="333"/>
      <c r="H8" s="333"/>
      <c r="I8" s="333"/>
      <c r="J8" s="333"/>
      <c r="K8" s="333"/>
      <c r="L8" s="333"/>
      <c r="M8" s="333"/>
      <c r="N8" s="320"/>
      <c r="O8" s="317">
        <v>3500</v>
      </c>
      <c r="P8" s="317">
        <v>4000</v>
      </c>
      <c r="Q8" s="318">
        <f t="shared" ref="Q8:Q11" si="1">+O8-P8</f>
        <v>-500</v>
      </c>
      <c r="R8" s="319">
        <f t="shared" ref="R8:R12" si="2">IF(P8=0,"NA",(+O8-P8)/P8)</f>
        <v>-0.125</v>
      </c>
      <c r="S8" s="320"/>
      <c r="T8" s="317">
        <v>3525</v>
      </c>
      <c r="U8" s="317">
        <v>4000</v>
      </c>
      <c r="V8" s="319">
        <f t="shared" si="0"/>
        <v>-0.11874999999999999</v>
      </c>
      <c r="W8" s="321"/>
      <c r="X8" s="67"/>
    </row>
    <row r="9" spans="1:24">
      <c r="A9" s="47">
        <v>5</v>
      </c>
      <c r="C9" s="320" t="s">
        <v>3</v>
      </c>
      <c r="D9" s="331"/>
      <c r="E9" s="332"/>
      <c r="F9" s="333"/>
      <c r="G9" s="333"/>
      <c r="H9" s="333"/>
      <c r="I9" s="333"/>
      <c r="J9" s="333"/>
      <c r="K9" s="333"/>
      <c r="L9" s="333"/>
      <c r="M9" s="333"/>
      <c r="N9" s="320"/>
      <c r="O9" s="317">
        <v>1000</v>
      </c>
      <c r="P9" s="317">
        <v>1000</v>
      </c>
      <c r="Q9" s="318">
        <f t="shared" si="1"/>
        <v>0</v>
      </c>
      <c r="R9" s="319">
        <f t="shared" si="2"/>
        <v>0</v>
      </c>
      <c r="S9" s="320"/>
      <c r="T9" s="317">
        <v>0</v>
      </c>
      <c r="U9" s="317">
        <v>0</v>
      </c>
      <c r="V9" s="319" t="str">
        <f t="shared" si="0"/>
        <v>NA</v>
      </c>
      <c r="W9" s="321"/>
      <c r="X9" s="67"/>
    </row>
    <row r="10" spans="1:24">
      <c r="A10" s="47">
        <v>6</v>
      </c>
      <c r="C10" s="320" t="s">
        <v>4</v>
      </c>
      <c r="D10" s="331"/>
      <c r="E10" s="332"/>
      <c r="F10" s="333"/>
      <c r="G10" s="333"/>
      <c r="H10" s="333"/>
      <c r="I10" s="333"/>
      <c r="J10" s="333"/>
      <c r="K10" s="333"/>
      <c r="L10" s="333"/>
      <c r="M10" s="333"/>
      <c r="N10" s="320"/>
      <c r="O10" s="317">
        <v>5000</v>
      </c>
      <c r="P10" s="317">
        <v>5000</v>
      </c>
      <c r="Q10" s="318">
        <f t="shared" si="1"/>
        <v>0</v>
      </c>
      <c r="R10" s="319">
        <f t="shared" si="2"/>
        <v>0</v>
      </c>
      <c r="S10" s="320"/>
      <c r="T10" s="317">
        <v>10</v>
      </c>
      <c r="U10" s="317">
        <v>0</v>
      </c>
      <c r="V10" s="319" t="str">
        <f t="shared" si="0"/>
        <v>NA</v>
      </c>
      <c r="W10" s="321"/>
      <c r="X10" s="67"/>
    </row>
    <row r="11" spans="1:24">
      <c r="A11" s="47">
        <v>7</v>
      </c>
      <c r="C11" s="325" t="s">
        <v>5</v>
      </c>
      <c r="D11" s="334"/>
      <c r="E11" s="335"/>
      <c r="F11" s="336"/>
      <c r="G11" s="336"/>
      <c r="H11" s="336"/>
      <c r="I11" s="336"/>
      <c r="J11" s="336"/>
      <c r="K11" s="336"/>
      <c r="L11" s="336"/>
      <c r="M11" s="336"/>
      <c r="N11" s="325"/>
      <c r="O11" s="322">
        <v>2800</v>
      </c>
      <c r="P11" s="322">
        <v>3000</v>
      </c>
      <c r="Q11" s="323">
        <f t="shared" si="1"/>
        <v>-200</v>
      </c>
      <c r="R11" s="324">
        <f t="shared" si="2"/>
        <v>-6.6666666666666666E-2</v>
      </c>
      <c r="S11" s="325"/>
      <c r="T11" s="322">
        <v>2864</v>
      </c>
      <c r="U11" s="322">
        <v>3000</v>
      </c>
      <c r="V11" s="324">
        <f t="shared" si="0"/>
        <v>-4.5333333333333337E-2</v>
      </c>
      <c r="W11" s="326"/>
      <c r="X11" s="67"/>
    </row>
    <row r="12" spans="1:24">
      <c r="A12" s="47">
        <v>8</v>
      </c>
      <c r="B12" s="12" t="s">
        <v>6</v>
      </c>
      <c r="C12" s="12"/>
      <c r="D12" s="12"/>
      <c r="E12" s="94"/>
      <c r="F12" s="94"/>
      <c r="G12" s="94"/>
      <c r="H12" s="94"/>
      <c r="I12" s="94"/>
      <c r="J12" s="94"/>
      <c r="K12" s="94"/>
      <c r="L12" s="94"/>
      <c r="M12" s="94"/>
      <c r="N12" s="12"/>
      <c r="O12" s="12">
        <f>SUM(O7:O11)</f>
        <v>502300</v>
      </c>
      <c r="P12" s="12">
        <f>SUM(P7:P11)</f>
        <v>513000</v>
      </c>
      <c r="Q12" s="12">
        <f>SUM(Q7:Q11)</f>
        <v>-10700</v>
      </c>
      <c r="R12" s="13">
        <f t="shared" si="2"/>
        <v>-2.0857699805068228E-2</v>
      </c>
      <c r="T12" s="12">
        <f>SUM(T7:T11)</f>
        <v>394482.6</v>
      </c>
      <c r="U12" s="12">
        <f>SUM(U7:U11)</f>
        <v>402547.15</v>
      </c>
      <c r="V12" s="13">
        <f t="shared" si="0"/>
        <v>-2.0033802251487921E-2</v>
      </c>
      <c r="W12" s="84"/>
      <c r="X12" s="68"/>
    </row>
    <row r="13" spans="1:24" ht="5.25" customHeight="1">
      <c r="A13" s="47">
        <v>9</v>
      </c>
      <c r="R13" s="7"/>
      <c r="W13" s="84"/>
      <c r="X13" s="68"/>
    </row>
    <row r="14" spans="1:24">
      <c r="A14" s="47">
        <v>10</v>
      </c>
      <c r="B14" s="4" t="s">
        <v>7</v>
      </c>
      <c r="R14" s="7"/>
      <c r="W14" s="84"/>
      <c r="X14" s="68"/>
    </row>
    <row r="15" spans="1:24">
      <c r="A15" s="47">
        <v>11</v>
      </c>
      <c r="C15" s="315" t="s">
        <v>8</v>
      </c>
      <c r="D15" s="327"/>
      <c r="E15" s="328"/>
      <c r="F15" s="329"/>
      <c r="G15" s="329"/>
      <c r="H15" s="329"/>
      <c r="I15" s="329"/>
      <c r="J15" s="329"/>
      <c r="K15" s="329"/>
      <c r="L15" s="329"/>
      <c r="M15" s="329"/>
      <c r="N15" s="315"/>
      <c r="O15" s="312">
        <v>11000</v>
      </c>
      <c r="P15" s="312">
        <v>8500</v>
      </c>
      <c r="Q15" s="313">
        <f t="shared" ref="Q15:Q19" si="3">+O15-P15</f>
        <v>2500</v>
      </c>
      <c r="R15" s="314">
        <f t="shared" ref="R15:R21" si="4">IF(P15=0,"NA",(+O15-P15)/P15)</f>
        <v>0.29411764705882354</v>
      </c>
      <c r="S15" s="315"/>
      <c r="T15" s="312">
        <v>6879.42</v>
      </c>
      <c r="U15" s="312">
        <v>5291.84</v>
      </c>
      <c r="V15" s="314">
        <f t="shared" ref="V15:V21" si="5">IF(U15=0,"NA",(+T15-U15)/U15)</f>
        <v>0.30000529116526575</v>
      </c>
      <c r="W15" s="316"/>
      <c r="X15" s="67"/>
    </row>
    <row r="16" spans="1:24">
      <c r="A16" s="47">
        <v>12</v>
      </c>
      <c r="C16" s="320" t="s">
        <v>7</v>
      </c>
      <c r="D16" s="331"/>
      <c r="E16" s="332"/>
      <c r="F16" s="333"/>
      <c r="G16" s="333"/>
      <c r="H16" s="333"/>
      <c r="I16" s="333"/>
      <c r="J16" s="333"/>
      <c r="K16" s="333"/>
      <c r="L16" s="333"/>
      <c r="M16" s="333"/>
      <c r="N16" s="320"/>
      <c r="O16" s="317">
        <f t="shared" ref="O16:O19" si="6">+P16</f>
        <v>0</v>
      </c>
      <c r="P16" s="317">
        <v>0</v>
      </c>
      <c r="Q16" s="318">
        <f t="shared" si="3"/>
        <v>0</v>
      </c>
      <c r="R16" s="319" t="str">
        <f t="shared" si="4"/>
        <v>NA</v>
      </c>
      <c r="S16" s="320"/>
      <c r="T16" s="317">
        <v>4044</v>
      </c>
      <c r="U16" s="317">
        <v>0</v>
      </c>
      <c r="V16" s="319" t="str">
        <f t="shared" si="5"/>
        <v>NA</v>
      </c>
      <c r="W16" s="337"/>
      <c r="X16" s="68"/>
    </row>
    <row r="17" spans="1:24">
      <c r="A17" s="47">
        <v>13</v>
      </c>
      <c r="C17" s="320" t="s">
        <v>9</v>
      </c>
      <c r="D17" s="331"/>
      <c r="E17" s="332"/>
      <c r="F17" s="333"/>
      <c r="G17" s="333"/>
      <c r="H17" s="333"/>
      <c r="I17" s="333"/>
      <c r="J17" s="333"/>
      <c r="K17" s="333"/>
      <c r="L17" s="333"/>
      <c r="M17" s="333"/>
      <c r="N17" s="320"/>
      <c r="O17" s="317">
        <f t="shared" si="6"/>
        <v>0</v>
      </c>
      <c r="P17" s="317">
        <v>0</v>
      </c>
      <c r="Q17" s="318">
        <f t="shared" si="3"/>
        <v>0</v>
      </c>
      <c r="R17" s="319" t="str">
        <f t="shared" si="4"/>
        <v>NA</v>
      </c>
      <c r="S17" s="320"/>
      <c r="T17" s="317">
        <v>0</v>
      </c>
      <c r="U17" s="317">
        <v>0</v>
      </c>
      <c r="V17" s="319" t="str">
        <f t="shared" si="5"/>
        <v>NA</v>
      </c>
      <c r="W17" s="337"/>
      <c r="X17" s="68"/>
    </row>
    <row r="18" spans="1:24">
      <c r="A18" s="47">
        <v>14</v>
      </c>
      <c r="C18" s="320" t="s">
        <v>11</v>
      </c>
      <c r="D18" s="331"/>
      <c r="E18" s="332"/>
      <c r="F18" s="333"/>
      <c r="G18" s="333"/>
      <c r="H18" s="333"/>
      <c r="I18" s="333"/>
      <c r="J18" s="333"/>
      <c r="K18" s="333"/>
      <c r="L18" s="333"/>
      <c r="M18" s="333"/>
      <c r="N18" s="320"/>
      <c r="O18" s="317">
        <f t="shared" si="6"/>
        <v>0</v>
      </c>
      <c r="P18" s="317">
        <v>0</v>
      </c>
      <c r="Q18" s="318">
        <f t="shared" si="3"/>
        <v>0</v>
      </c>
      <c r="R18" s="319" t="str">
        <f t="shared" si="4"/>
        <v>NA</v>
      </c>
      <c r="S18" s="320"/>
      <c r="T18" s="317">
        <v>2.83</v>
      </c>
      <c r="U18" s="317">
        <v>0</v>
      </c>
      <c r="V18" s="319" t="str">
        <f t="shared" si="5"/>
        <v>NA</v>
      </c>
      <c r="W18" s="337"/>
      <c r="X18" s="68"/>
    </row>
    <row r="19" spans="1:24">
      <c r="A19" s="47">
        <v>15</v>
      </c>
      <c r="C19" s="325" t="s">
        <v>99</v>
      </c>
      <c r="D19" s="334"/>
      <c r="E19" s="335"/>
      <c r="F19" s="336"/>
      <c r="G19" s="336"/>
      <c r="H19" s="336"/>
      <c r="I19" s="336"/>
      <c r="J19" s="336"/>
      <c r="K19" s="336"/>
      <c r="L19" s="336"/>
      <c r="M19" s="336"/>
      <c r="N19" s="325"/>
      <c r="O19" s="322">
        <f t="shared" si="6"/>
        <v>0</v>
      </c>
      <c r="P19" s="322">
        <v>0</v>
      </c>
      <c r="Q19" s="323">
        <f t="shared" si="3"/>
        <v>0</v>
      </c>
      <c r="R19" s="324" t="str">
        <f t="shared" si="4"/>
        <v>NA</v>
      </c>
      <c r="S19" s="325"/>
      <c r="T19" s="322">
        <v>3780</v>
      </c>
      <c r="U19" s="322">
        <v>0</v>
      </c>
      <c r="V19" s="324" t="str">
        <f t="shared" si="5"/>
        <v>NA</v>
      </c>
      <c r="W19" s="338"/>
      <c r="X19" s="68"/>
    </row>
    <row r="20" spans="1:24">
      <c r="A20" s="47">
        <v>16</v>
      </c>
      <c r="B20" s="12" t="s">
        <v>10</v>
      </c>
      <c r="C20" s="12"/>
      <c r="D20" s="12"/>
      <c r="E20" s="94"/>
      <c r="F20" s="94"/>
      <c r="G20" s="94"/>
      <c r="H20" s="94"/>
      <c r="I20" s="94"/>
      <c r="J20" s="94"/>
      <c r="K20" s="94"/>
      <c r="L20" s="94"/>
      <c r="M20" s="94"/>
      <c r="N20" s="12"/>
      <c r="O20" s="12">
        <f>SUM(O15:O19)</f>
        <v>11000</v>
      </c>
      <c r="P20" s="12">
        <f>SUM(P15:P19)</f>
        <v>8500</v>
      </c>
      <c r="Q20" s="12">
        <f>SUM(Q15:Q19)</f>
        <v>2500</v>
      </c>
      <c r="R20" s="13">
        <f t="shared" si="4"/>
        <v>0.29411764705882354</v>
      </c>
      <c r="T20" s="12">
        <f t="shared" ref="T20:U20" si="7">SUM(T15:T19)</f>
        <v>14706.25</v>
      </c>
      <c r="U20" s="12">
        <f t="shared" si="7"/>
        <v>5291.84</v>
      </c>
      <c r="V20" s="13">
        <f t="shared" si="5"/>
        <v>1.7790428282034225</v>
      </c>
      <c r="W20" s="84"/>
      <c r="X20" s="68"/>
    </row>
    <row r="21" spans="1:24">
      <c r="A21" s="47">
        <v>17</v>
      </c>
      <c r="B21" s="12" t="s">
        <v>12</v>
      </c>
      <c r="C21" s="12"/>
      <c r="D21" s="12"/>
      <c r="E21" s="94"/>
      <c r="F21" s="94"/>
      <c r="G21" s="94"/>
      <c r="H21" s="94"/>
      <c r="I21" s="94"/>
      <c r="J21" s="94"/>
      <c r="K21" s="94"/>
      <c r="L21" s="94"/>
      <c r="M21" s="94"/>
      <c r="N21" s="12"/>
      <c r="O21" s="12">
        <f>+O12+O20</f>
        <v>513300</v>
      </c>
      <c r="P21" s="12">
        <f>+P12+P20</f>
        <v>521500</v>
      </c>
      <c r="Q21" s="12">
        <f>+Q12+Q20</f>
        <v>-8200</v>
      </c>
      <c r="R21" s="13">
        <f t="shared" si="4"/>
        <v>-1.5723873441994246E-2</v>
      </c>
      <c r="T21" s="12">
        <f t="shared" ref="T21:U21" si="8">+T12+T20</f>
        <v>409188.85</v>
      </c>
      <c r="U21" s="12">
        <f t="shared" si="8"/>
        <v>407838.99000000005</v>
      </c>
      <c r="V21" s="13">
        <f t="shared" si="5"/>
        <v>3.3097865410070962E-3</v>
      </c>
      <c r="W21" s="84"/>
      <c r="X21" s="68"/>
    </row>
    <row r="22" spans="1:24" ht="6" customHeight="1">
      <c r="A22" s="47">
        <v>18</v>
      </c>
      <c r="R22" s="7"/>
      <c r="W22" s="84"/>
      <c r="X22" s="68"/>
    </row>
    <row r="23" spans="1:24" ht="18.5">
      <c r="A23" s="47">
        <v>19</v>
      </c>
      <c r="B23" s="9" t="s">
        <v>13</v>
      </c>
      <c r="R23" s="7"/>
      <c r="W23" s="84"/>
      <c r="X23" s="68"/>
    </row>
    <row r="24" spans="1:24" ht="18.5">
      <c r="A24" s="47">
        <v>20</v>
      </c>
      <c r="B24" s="9" t="s">
        <v>96</v>
      </c>
      <c r="R24" s="7"/>
      <c r="W24" s="84"/>
      <c r="X24" s="68"/>
    </row>
    <row r="25" spans="1:24" hidden="1">
      <c r="A25" s="47">
        <v>21</v>
      </c>
      <c r="C25" s="1" t="s">
        <v>14</v>
      </c>
      <c r="O25" s="1">
        <f>+O21</f>
        <v>513300</v>
      </c>
      <c r="P25" s="1">
        <f>+P21</f>
        <v>521500</v>
      </c>
      <c r="Q25" s="40">
        <f t="shared" ref="Q25:Q28" si="9">+O25-P25</f>
        <v>-8200</v>
      </c>
      <c r="R25" s="7"/>
      <c r="W25" s="84"/>
      <c r="X25" s="68"/>
    </row>
    <row r="26" spans="1:24" hidden="1">
      <c r="A26" s="47">
        <v>23</v>
      </c>
      <c r="C26" s="1" t="s">
        <v>15</v>
      </c>
      <c r="O26" s="40">
        <f>-O178</f>
        <v>0</v>
      </c>
      <c r="P26" s="40">
        <f>-P178</f>
        <v>0</v>
      </c>
      <c r="Q26" s="40">
        <f t="shared" si="9"/>
        <v>0</v>
      </c>
      <c r="R26" s="7"/>
      <c r="T26" s="40"/>
      <c r="U26" s="40"/>
      <c r="W26" s="84"/>
      <c r="X26" s="68"/>
    </row>
    <row r="27" spans="1:24" hidden="1">
      <c r="A27" s="47">
        <v>24</v>
      </c>
      <c r="C27" s="1" t="s">
        <v>16</v>
      </c>
      <c r="O27" s="40">
        <f>-O167</f>
        <v>0</v>
      </c>
      <c r="P27" s="40">
        <f>-P167</f>
        <v>0</v>
      </c>
      <c r="Q27" s="40">
        <f t="shared" si="9"/>
        <v>0</v>
      </c>
      <c r="R27" s="7"/>
      <c r="T27" s="40"/>
      <c r="U27" s="40"/>
      <c r="W27" s="84"/>
      <c r="X27" s="68"/>
    </row>
    <row r="28" spans="1:24" hidden="1">
      <c r="A28" s="47">
        <v>25</v>
      </c>
      <c r="C28" s="1" t="s">
        <v>118</v>
      </c>
      <c r="O28" s="1">
        <f>SUM(O25:O27)</f>
        <v>513300</v>
      </c>
      <c r="P28" s="1">
        <f>SUM(P25:P27)</f>
        <v>521500</v>
      </c>
      <c r="Q28" s="40">
        <f t="shared" si="9"/>
        <v>-8200</v>
      </c>
      <c r="R28" s="7"/>
      <c r="W28" s="84"/>
      <c r="X28" s="68"/>
    </row>
    <row r="29" spans="1:24" s="4" customFormat="1">
      <c r="A29" s="47">
        <v>26</v>
      </c>
      <c r="B29" s="14"/>
      <c r="C29" s="15" t="s">
        <v>97</v>
      </c>
      <c r="D29" s="15"/>
      <c r="E29" s="95"/>
      <c r="F29" s="96"/>
      <c r="G29" s="96"/>
      <c r="H29" s="96"/>
      <c r="I29" s="96"/>
      <c r="J29" s="96"/>
      <c r="K29" s="96"/>
      <c r="L29" s="96"/>
      <c r="M29" s="96"/>
      <c r="N29" s="14"/>
      <c r="O29" s="14">
        <f>ROUND(+O28*0.1,0)</f>
        <v>51330</v>
      </c>
      <c r="P29" s="14">
        <f>ROUND(+P28*0.1,0)</f>
        <v>52150</v>
      </c>
      <c r="Q29" s="14">
        <f>ROUND(+Q28*0.1,0)</f>
        <v>-820</v>
      </c>
      <c r="R29" s="16">
        <f>IF(P29=0,"NA",(+O29-P29)/P29)</f>
        <v>-1.5723873441994246E-2</v>
      </c>
      <c r="S29" s="1"/>
      <c r="T29" s="55">
        <v>38699.97</v>
      </c>
      <c r="U29" s="55">
        <v>39112.44</v>
      </c>
      <c r="V29" s="16">
        <f>IF(U29=0,"NA",(+T29-U29)/U29)</f>
        <v>-1.0545749638733896E-2</v>
      </c>
      <c r="W29" s="85"/>
      <c r="X29" s="69"/>
    </row>
    <row r="30" spans="1:24" s="4" customFormat="1" ht="6.75" customHeight="1">
      <c r="A30" s="47">
        <v>27</v>
      </c>
      <c r="B30" s="17"/>
      <c r="C30" s="18"/>
      <c r="D30" s="17"/>
      <c r="E30" s="92"/>
      <c r="F30" s="92"/>
      <c r="G30" s="92"/>
      <c r="H30" s="92"/>
      <c r="I30" s="92"/>
      <c r="J30" s="92"/>
      <c r="K30" s="92"/>
      <c r="L30" s="92"/>
      <c r="M30" s="92"/>
      <c r="N30" s="17"/>
      <c r="O30" s="17"/>
      <c r="P30" s="19"/>
      <c r="Q30" s="17"/>
      <c r="R30" s="20"/>
      <c r="S30" s="1"/>
      <c r="T30" s="17"/>
      <c r="U30" s="17"/>
      <c r="V30" s="20"/>
      <c r="W30" s="86"/>
      <c r="X30" s="70"/>
    </row>
    <row r="31" spans="1:24" s="4" customFormat="1" ht="18.5">
      <c r="A31" s="47">
        <v>28</v>
      </c>
      <c r="B31" s="21" t="s">
        <v>66</v>
      </c>
      <c r="C31" s="18"/>
      <c r="D31" s="17"/>
      <c r="E31" s="92"/>
      <c r="F31" s="92"/>
      <c r="G31" s="92"/>
      <c r="H31" s="92"/>
      <c r="I31" s="92"/>
      <c r="J31" s="92"/>
      <c r="K31" s="92"/>
      <c r="L31" s="92"/>
      <c r="M31" s="92"/>
      <c r="N31" s="17"/>
      <c r="O31" s="17"/>
      <c r="P31" s="19"/>
      <c r="Q31" s="17"/>
      <c r="R31" s="20"/>
      <c r="S31" s="1"/>
      <c r="T31" s="17"/>
      <c r="U31" s="17"/>
      <c r="V31" s="20"/>
      <c r="W31" s="86"/>
      <c r="X31" s="70"/>
    </row>
    <row r="32" spans="1:24">
      <c r="A32" s="47">
        <v>29</v>
      </c>
      <c r="B32" s="4" t="s">
        <v>17</v>
      </c>
      <c r="R32" s="7"/>
      <c r="W32" s="84"/>
      <c r="X32" s="68"/>
    </row>
    <row r="33" spans="1:24" ht="29">
      <c r="A33" s="47">
        <v>30</v>
      </c>
      <c r="C33" s="315" t="s">
        <v>88</v>
      </c>
      <c r="D33" s="327"/>
      <c r="E33" s="328"/>
      <c r="F33" s="329"/>
      <c r="G33" s="329"/>
      <c r="H33" s="329"/>
      <c r="I33" s="329"/>
      <c r="J33" s="329"/>
      <c r="K33" s="329"/>
      <c r="L33" s="329"/>
      <c r="M33" s="329"/>
      <c r="N33" s="315"/>
      <c r="O33" s="312">
        <v>2000</v>
      </c>
      <c r="P33" s="312">
        <v>2000</v>
      </c>
      <c r="Q33" s="313">
        <f t="shared" ref="Q33:Q39" si="10">+O33-P33</f>
        <v>0</v>
      </c>
      <c r="R33" s="314">
        <f t="shared" ref="R33:R40" si="11">IF(P33=0,"NA",(+O33-P33)/P33)</f>
        <v>0</v>
      </c>
      <c r="S33" s="315"/>
      <c r="T33" s="312">
        <v>691.17</v>
      </c>
      <c r="U33" s="312">
        <v>1500.03</v>
      </c>
      <c r="V33" s="314">
        <f t="shared" ref="V33:V40" si="12">IF(U33=0,"NA",(+T33-U33)/U33)</f>
        <v>-0.53922921541569169</v>
      </c>
      <c r="W33" s="316" t="s">
        <v>234</v>
      </c>
      <c r="X33" s="67" t="s">
        <v>134</v>
      </c>
    </row>
    <row r="34" spans="1:24" ht="43.5">
      <c r="A34" s="47">
        <v>31</v>
      </c>
      <c r="C34" s="320" t="s">
        <v>18</v>
      </c>
      <c r="D34" s="331"/>
      <c r="E34" s="332"/>
      <c r="F34" s="333"/>
      <c r="G34" s="333"/>
      <c r="H34" s="333"/>
      <c r="I34" s="333"/>
      <c r="J34" s="333"/>
      <c r="K34" s="333"/>
      <c r="L34" s="333"/>
      <c r="M34" s="333"/>
      <c r="N34" s="320"/>
      <c r="O34" s="317">
        <v>1000</v>
      </c>
      <c r="P34" s="317">
        <v>1000</v>
      </c>
      <c r="Q34" s="318">
        <f t="shared" si="10"/>
        <v>0</v>
      </c>
      <c r="R34" s="319">
        <f t="shared" si="11"/>
        <v>0</v>
      </c>
      <c r="S34" s="320"/>
      <c r="T34" s="317">
        <v>218.33</v>
      </c>
      <c r="U34" s="317">
        <v>749.97</v>
      </c>
      <c r="V34" s="319">
        <f t="shared" si="12"/>
        <v>-0.7088816886008773</v>
      </c>
      <c r="W34" s="321" t="s">
        <v>244</v>
      </c>
      <c r="X34" s="71" t="s">
        <v>135</v>
      </c>
    </row>
    <row r="35" spans="1:24" ht="58">
      <c r="A35" s="47">
        <v>32</v>
      </c>
      <c r="C35" s="320" t="s">
        <v>245</v>
      </c>
      <c r="D35" s="331"/>
      <c r="E35" s="332"/>
      <c r="F35" s="333"/>
      <c r="G35" s="333"/>
      <c r="H35" s="333"/>
      <c r="I35" s="333"/>
      <c r="J35" s="333"/>
      <c r="K35" s="333"/>
      <c r="L35" s="333"/>
      <c r="M35" s="333"/>
      <c r="N35" s="320"/>
      <c r="O35" s="317">
        <v>1000</v>
      </c>
      <c r="P35" s="317">
        <v>500</v>
      </c>
      <c r="Q35" s="318">
        <f t="shared" si="10"/>
        <v>500</v>
      </c>
      <c r="R35" s="319">
        <f t="shared" si="11"/>
        <v>1</v>
      </c>
      <c r="S35" s="320"/>
      <c r="T35" s="317">
        <v>0</v>
      </c>
      <c r="U35" s="317">
        <v>500</v>
      </c>
      <c r="V35" s="319">
        <f t="shared" si="12"/>
        <v>-1</v>
      </c>
      <c r="W35" s="321" t="s">
        <v>283</v>
      </c>
      <c r="X35" s="71" t="s">
        <v>136</v>
      </c>
    </row>
    <row r="36" spans="1:24" ht="32" customHeight="1">
      <c r="A36" s="47">
        <v>33</v>
      </c>
      <c r="C36" s="320" t="s">
        <v>19</v>
      </c>
      <c r="D36" s="331"/>
      <c r="E36" s="332"/>
      <c r="F36" s="333"/>
      <c r="G36" s="333"/>
      <c r="H36" s="333"/>
      <c r="I36" s="333"/>
      <c r="J36" s="333"/>
      <c r="K36" s="333"/>
      <c r="L36" s="333"/>
      <c r="M36" s="333"/>
      <c r="N36" s="320"/>
      <c r="O36" s="317">
        <v>300</v>
      </c>
      <c r="P36" s="317">
        <v>200</v>
      </c>
      <c r="Q36" s="318">
        <f t="shared" si="10"/>
        <v>100</v>
      </c>
      <c r="R36" s="319">
        <f t="shared" si="11"/>
        <v>0.5</v>
      </c>
      <c r="S36" s="320"/>
      <c r="T36" s="317">
        <v>0</v>
      </c>
      <c r="U36" s="317">
        <v>150.03</v>
      </c>
      <c r="V36" s="319">
        <f t="shared" si="12"/>
        <v>-1</v>
      </c>
      <c r="W36" s="321" t="s">
        <v>235</v>
      </c>
      <c r="X36" s="67" t="s">
        <v>137</v>
      </c>
    </row>
    <row r="37" spans="1:24" ht="14.5" customHeight="1">
      <c r="A37" s="47">
        <v>34</v>
      </c>
      <c r="C37" s="320" t="s">
        <v>20</v>
      </c>
      <c r="D37" s="331"/>
      <c r="E37" s="332"/>
      <c r="F37" s="333"/>
      <c r="G37" s="333"/>
      <c r="H37" s="333"/>
      <c r="I37" s="333"/>
      <c r="J37" s="333"/>
      <c r="K37" s="333"/>
      <c r="L37" s="333"/>
      <c r="M37" s="333"/>
      <c r="N37" s="320"/>
      <c r="O37" s="317">
        <v>200</v>
      </c>
      <c r="P37" s="317">
        <v>200</v>
      </c>
      <c r="Q37" s="318">
        <f t="shared" si="10"/>
        <v>0</v>
      </c>
      <c r="R37" s="319">
        <f t="shared" si="11"/>
        <v>0</v>
      </c>
      <c r="S37" s="320"/>
      <c r="T37" s="317">
        <v>63.83</v>
      </c>
      <c r="U37" s="317">
        <v>200</v>
      </c>
      <c r="V37" s="319">
        <f t="shared" si="12"/>
        <v>-0.68085000000000007</v>
      </c>
      <c r="W37" s="321" t="s">
        <v>236</v>
      </c>
      <c r="X37" s="71" t="s">
        <v>138</v>
      </c>
    </row>
    <row r="38" spans="1:24">
      <c r="C38" s="320" t="s">
        <v>115</v>
      </c>
      <c r="D38" s="331"/>
      <c r="E38" s="332"/>
      <c r="F38" s="333"/>
      <c r="G38" s="333"/>
      <c r="H38" s="333"/>
      <c r="I38" s="333"/>
      <c r="J38" s="333"/>
      <c r="K38" s="333"/>
      <c r="L38" s="333"/>
      <c r="M38" s="333"/>
      <c r="N38" s="320"/>
      <c r="O38" s="317">
        <v>750</v>
      </c>
      <c r="P38" s="317">
        <v>750</v>
      </c>
      <c r="Q38" s="318">
        <f t="shared" si="10"/>
        <v>0</v>
      </c>
      <c r="R38" s="319">
        <f t="shared" ref="R38" si="13">IF(P38=0,"NA",(+O38-P38)/P38)</f>
        <v>0</v>
      </c>
      <c r="S38" s="320"/>
      <c r="T38" s="317">
        <v>71.900000000000006</v>
      </c>
      <c r="U38" s="317">
        <v>562.5</v>
      </c>
      <c r="V38" s="319">
        <f t="shared" ref="V38" si="14">IF(U38=0,"NA",(+T38-U38)/U38)</f>
        <v>-0.87217777777777783</v>
      </c>
      <c r="W38" s="321" t="s">
        <v>238</v>
      </c>
      <c r="X38" s="71" t="s">
        <v>139</v>
      </c>
    </row>
    <row r="39" spans="1:24" ht="14.4" customHeight="1">
      <c r="A39" s="47">
        <v>35</v>
      </c>
      <c r="C39" s="325" t="s">
        <v>92</v>
      </c>
      <c r="D39" s="334"/>
      <c r="E39" s="335"/>
      <c r="F39" s="336"/>
      <c r="G39" s="336"/>
      <c r="H39" s="336"/>
      <c r="I39" s="336"/>
      <c r="J39" s="336"/>
      <c r="K39" s="336"/>
      <c r="L39" s="336"/>
      <c r="M39" s="336"/>
      <c r="N39" s="325"/>
      <c r="O39" s="322">
        <v>200</v>
      </c>
      <c r="P39" s="322">
        <v>200</v>
      </c>
      <c r="Q39" s="323">
        <f t="shared" si="10"/>
        <v>0</v>
      </c>
      <c r="R39" s="324">
        <f t="shared" si="11"/>
        <v>0</v>
      </c>
      <c r="S39" s="325"/>
      <c r="T39" s="322">
        <v>0</v>
      </c>
      <c r="U39" s="322">
        <v>200</v>
      </c>
      <c r="V39" s="324">
        <f t="shared" si="12"/>
        <v>-1</v>
      </c>
      <c r="W39" s="326" t="s">
        <v>237</v>
      </c>
      <c r="X39" s="71" t="s">
        <v>140</v>
      </c>
    </row>
    <row r="40" spans="1:24" s="4" customFormat="1">
      <c r="A40" s="47">
        <v>36</v>
      </c>
      <c r="B40" s="22" t="s">
        <v>21</v>
      </c>
      <c r="C40" s="22"/>
      <c r="D40" s="39"/>
      <c r="E40" s="97"/>
      <c r="F40" s="97"/>
      <c r="G40" s="97"/>
      <c r="H40" s="97"/>
      <c r="I40" s="97"/>
      <c r="J40" s="97"/>
      <c r="K40" s="97"/>
      <c r="L40" s="97"/>
      <c r="M40" s="97"/>
      <c r="N40" s="39"/>
      <c r="O40" s="22">
        <f>SUM(O33:O39)</f>
        <v>5450</v>
      </c>
      <c r="P40" s="39">
        <f>SUM(P33:P39)</f>
        <v>4850</v>
      </c>
      <c r="Q40" s="39">
        <f>SUM(Q33:Q39)</f>
        <v>600</v>
      </c>
      <c r="R40" s="23">
        <f t="shared" si="11"/>
        <v>0.12371134020618557</v>
      </c>
      <c r="T40" s="39">
        <f t="shared" ref="T40:U40" si="15">SUM(T33:T39)</f>
        <v>1045.23</v>
      </c>
      <c r="U40" s="39">
        <f t="shared" si="15"/>
        <v>3862.53</v>
      </c>
      <c r="V40" s="23">
        <f t="shared" si="12"/>
        <v>-0.72939239306879167</v>
      </c>
      <c r="W40" s="86"/>
      <c r="X40" s="70"/>
    </row>
    <row r="41" spans="1:24" ht="6" customHeight="1">
      <c r="A41" s="47">
        <v>37</v>
      </c>
      <c r="R41" s="7"/>
      <c r="W41" s="84"/>
      <c r="X41" s="68"/>
    </row>
    <row r="42" spans="1:24">
      <c r="A42" s="47">
        <v>40</v>
      </c>
      <c r="B42" s="4" t="s">
        <v>169</v>
      </c>
      <c r="R42" s="7"/>
      <c r="W42" s="84"/>
      <c r="X42" s="68"/>
    </row>
    <row r="43" spans="1:24" ht="14.4" customHeight="1">
      <c r="A43" s="47">
        <v>41</v>
      </c>
      <c r="C43" s="315" t="s">
        <v>22</v>
      </c>
      <c r="D43" s="327"/>
      <c r="E43" s="328"/>
      <c r="F43" s="329"/>
      <c r="G43" s="329"/>
      <c r="H43" s="329"/>
      <c r="I43" s="329"/>
      <c r="J43" s="329"/>
      <c r="K43" s="329"/>
      <c r="L43" s="329"/>
      <c r="M43" s="329"/>
      <c r="N43" s="315"/>
      <c r="O43" s="312">
        <v>5000</v>
      </c>
      <c r="P43" s="312">
        <v>5000</v>
      </c>
      <c r="Q43" s="313">
        <f t="shared" ref="Q43:Q46" si="16">+O43-P43</f>
        <v>0</v>
      </c>
      <c r="R43" s="314">
        <f t="shared" ref="R43:R47" si="17">IF(P43=0,"NA",(+O43-P43)/P43)</f>
        <v>0</v>
      </c>
      <c r="S43" s="315"/>
      <c r="T43" s="312">
        <v>3384.9</v>
      </c>
      <c r="U43" s="312">
        <v>3750.03</v>
      </c>
      <c r="V43" s="314">
        <f>IF(U43=0,"NA",(+T43-U43)/U43)</f>
        <v>-9.7367221062231529E-2</v>
      </c>
      <c r="W43" s="316" t="s">
        <v>176</v>
      </c>
      <c r="X43" s="71" t="s">
        <v>161</v>
      </c>
    </row>
    <row r="44" spans="1:24">
      <c r="C44" s="320" t="s">
        <v>175</v>
      </c>
      <c r="D44" s="331"/>
      <c r="E44" s="332"/>
      <c r="F44" s="333"/>
      <c r="G44" s="333"/>
      <c r="H44" s="333"/>
      <c r="I44" s="333"/>
      <c r="J44" s="333"/>
      <c r="K44" s="333"/>
      <c r="L44" s="333"/>
      <c r="M44" s="333"/>
      <c r="N44" s="320"/>
      <c r="O44" s="317">
        <v>0</v>
      </c>
      <c r="P44" s="317">
        <v>0</v>
      </c>
      <c r="Q44" s="318">
        <f t="shared" ref="Q44" si="18">+O44-P44</f>
        <v>0</v>
      </c>
      <c r="R44" s="319" t="str">
        <f t="shared" ref="R44" si="19">IF(P44=0,"NA",(+O44-P44)/P44)</f>
        <v>NA</v>
      </c>
      <c r="S44" s="320"/>
      <c r="T44" s="317">
        <v>0</v>
      </c>
      <c r="U44" s="317">
        <v>0</v>
      </c>
      <c r="V44" s="319" t="str">
        <f>IF(U44=0,"NA",(+T44-U44)/U44)</f>
        <v>NA</v>
      </c>
      <c r="W44" s="321" t="s">
        <v>176</v>
      </c>
      <c r="X44" s="71"/>
    </row>
    <row r="45" spans="1:24">
      <c r="A45" s="47">
        <v>43</v>
      </c>
      <c r="C45" s="320" t="s">
        <v>23</v>
      </c>
      <c r="D45" s="331"/>
      <c r="E45" s="332"/>
      <c r="F45" s="333"/>
      <c r="G45" s="333"/>
      <c r="H45" s="333"/>
      <c r="I45" s="333"/>
      <c r="J45" s="333"/>
      <c r="K45" s="333"/>
      <c r="L45" s="333"/>
      <c r="M45" s="333"/>
      <c r="N45" s="320"/>
      <c r="O45" s="317">
        <v>100</v>
      </c>
      <c r="P45" s="317">
        <v>100</v>
      </c>
      <c r="Q45" s="318">
        <f t="shared" si="16"/>
        <v>0</v>
      </c>
      <c r="R45" s="319">
        <f t="shared" si="17"/>
        <v>0</v>
      </c>
      <c r="S45" s="320"/>
      <c r="T45" s="317">
        <v>89.1</v>
      </c>
      <c r="U45" s="317">
        <v>74.97</v>
      </c>
      <c r="V45" s="319">
        <f>IF(U45=0,"NA",(+T45-U45)/U45)</f>
        <v>0.18847539015606238</v>
      </c>
      <c r="W45" s="321" t="s">
        <v>176</v>
      </c>
      <c r="X45" s="67" t="s">
        <v>160</v>
      </c>
    </row>
    <row r="46" spans="1:24">
      <c r="A46" s="47">
        <v>44</v>
      </c>
      <c r="C46" s="325" t="s">
        <v>24</v>
      </c>
      <c r="D46" s="334"/>
      <c r="E46" s="335"/>
      <c r="F46" s="336"/>
      <c r="G46" s="336"/>
      <c r="H46" s="336"/>
      <c r="I46" s="336"/>
      <c r="J46" s="336"/>
      <c r="K46" s="336"/>
      <c r="L46" s="336"/>
      <c r="M46" s="336"/>
      <c r="N46" s="325"/>
      <c r="O46" s="322">
        <v>200</v>
      </c>
      <c r="P46" s="322">
        <v>200</v>
      </c>
      <c r="Q46" s="323">
        <f t="shared" si="16"/>
        <v>0</v>
      </c>
      <c r="R46" s="324">
        <f t="shared" si="17"/>
        <v>0</v>
      </c>
      <c r="S46" s="325"/>
      <c r="T46" s="322">
        <v>-65</v>
      </c>
      <c r="U46" s="322">
        <v>150.03</v>
      </c>
      <c r="V46" s="324">
        <f>IF(U46=0,"NA",(+T46-U46)/U46)</f>
        <v>-1.4332466839965341</v>
      </c>
      <c r="W46" s="326" t="s">
        <v>176</v>
      </c>
      <c r="X46" s="68"/>
    </row>
    <row r="47" spans="1:24" s="4" customFormat="1">
      <c r="A47" s="47">
        <v>45</v>
      </c>
      <c r="B47" s="22" t="s">
        <v>170</v>
      </c>
      <c r="C47" s="22"/>
      <c r="D47" s="39"/>
      <c r="E47" s="97"/>
      <c r="F47" s="97"/>
      <c r="G47" s="97"/>
      <c r="H47" s="97"/>
      <c r="I47" s="97"/>
      <c r="J47" s="97"/>
      <c r="K47" s="97"/>
      <c r="L47" s="97"/>
      <c r="M47" s="97"/>
      <c r="N47" s="39"/>
      <c r="O47" s="22">
        <f>SUM(O43:O46)</f>
        <v>5300</v>
      </c>
      <c r="P47" s="39">
        <f>SUM(P43:P46)</f>
        <v>5300</v>
      </c>
      <c r="Q47" s="39">
        <f>SUM(Q43:Q46)</f>
        <v>0</v>
      </c>
      <c r="R47" s="23">
        <f t="shared" si="17"/>
        <v>0</v>
      </c>
      <c r="T47" s="39">
        <f>SUM(T43:T46)</f>
        <v>3409</v>
      </c>
      <c r="U47" s="39">
        <f>SUM(U43:U46)</f>
        <v>3975.03</v>
      </c>
      <c r="V47" s="23">
        <f>IF(U47=0,"NA",(+T47-U47)/U47)</f>
        <v>-0.14239640958684593</v>
      </c>
      <c r="W47" s="84"/>
      <c r="X47" s="68"/>
    </row>
    <row r="48" spans="1:24" ht="6.75" customHeight="1">
      <c r="A48" s="47">
        <v>46</v>
      </c>
      <c r="D48" s="1"/>
      <c r="E48" s="42"/>
      <c r="R48" s="7"/>
      <c r="W48" s="84"/>
      <c r="X48" s="68"/>
    </row>
    <row r="49" spans="1:24" s="4" customFormat="1" ht="43.5">
      <c r="A49" s="47">
        <v>51</v>
      </c>
      <c r="B49" s="22" t="s">
        <v>25</v>
      </c>
      <c r="C49" s="22"/>
      <c r="D49" s="39"/>
      <c r="E49" s="97"/>
      <c r="F49" s="97"/>
      <c r="G49" s="97"/>
      <c r="H49" s="97"/>
      <c r="I49" s="97"/>
      <c r="J49" s="97"/>
      <c r="K49" s="97"/>
      <c r="L49" s="97"/>
      <c r="M49" s="97"/>
      <c r="N49" s="39"/>
      <c r="O49" s="57">
        <v>12800</v>
      </c>
      <c r="P49" s="57">
        <v>12800</v>
      </c>
      <c r="Q49" s="49">
        <f t="shared" ref="Q49" si="20">+O49-P49</f>
        <v>0</v>
      </c>
      <c r="R49" s="23">
        <f t="shared" ref="R49" si="21">IF(P49=0,"NA",(+O49-P49)/P49)</f>
        <v>0</v>
      </c>
      <c r="T49" s="57">
        <v>6409.81</v>
      </c>
      <c r="U49" s="57">
        <v>11660</v>
      </c>
      <c r="V49" s="23">
        <f>IF(U49=0,"NA",(+T49-U49)/U49)</f>
        <v>-0.45027358490566033</v>
      </c>
      <c r="W49" s="71" t="s">
        <v>239</v>
      </c>
      <c r="X49" s="67"/>
    </row>
    <row r="50" spans="1:24" ht="6.75" customHeight="1">
      <c r="A50" s="47">
        <v>52</v>
      </c>
      <c r="R50" s="7"/>
      <c r="W50" s="84"/>
      <c r="X50" s="68"/>
    </row>
    <row r="51" spans="1:24">
      <c r="A51" s="47">
        <v>53</v>
      </c>
      <c r="B51" s="4" t="s">
        <v>98</v>
      </c>
      <c r="R51" s="7"/>
      <c r="W51" s="84"/>
      <c r="X51" s="68"/>
    </row>
    <row r="52" spans="1:24">
      <c r="A52" s="47">
        <v>54</v>
      </c>
      <c r="C52" s="315" t="s">
        <v>100</v>
      </c>
      <c r="D52" s="327"/>
      <c r="E52" s="328"/>
      <c r="F52" s="329"/>
      <c r="G52" s="329"/>
      <c r="H52" s="329"/>
      <c r="I52" s="329"/>
      <c r="J52" s="329"/>
      <c r="K52" s="329"/>
      <c r="L52" s="329"/>
      <c r="M52" s="329"/>
      <c r="N52" s="315"/>
      <c r="O52" s="312">
        <v>400</v>
      </c>
      <c r="P52" s="312">
        <v>400</v>
      </c>
      <c r="Q52" s="313">
        <f t="shared" ref="Q52:Q53" si="22">+O52-P52</f>
        <v>0</v>
      </c>
      <c r="R52" s="314">
        <f t="shared" ref="R52:R54" si="23">IF(P52=0,"NA",(+O52-P52)/P52)</f>
        <v>0</v>
      </c>
      <c r="S52" s="315"/>
      <c r="T52" s="312">
        <v>285.16000000000003</v>
      </c>
      <c r="U52" s="312">
        <v>299.97000000000003</v>
      </c>
      <c r="V52" s="314">
        <f>IF(U52=0,"NA",(+T52-U52)/U52)</f>
        <v>-4.9371603827049373E-2</v>
      </c>
      <c r="W52" s="339" t="s">
        <v>284</v>
      </c>
      <c r="X52" s="67"/>
    </row>
    <row r="53" spans="1:24">
      <c r="A53" s="47">
        <v>55</v>
      </c>
      <c r="C53" s="325" t="s">
        <v>95</v>
      </c>
      <c r="D53" s="334"/>
      <c r="E53" s="335"/>
      <c r="F53" s="336"/>
      <c r="G53" s="336"/>
      <c r="H53" s="336"/>
      <c r="I53" s="336"/>
      <c r="J53" s="336"/>
      <c r="K53" s="336"/>
      <c r="L53" s="336"/>
      <c r="M53" s="336"/>
      <c r="N53" s="325"/>
      <c r="O53" s="322">
        <v>150</v>
      </c>
      <c r="P53" s="322">
        <v>150</v>
      </c>
      <c r="Q53" s="323">
        <f t="shared" si="22"/>
        <v>0</v>
      </c>
      <c r="R53" s="324">
        <f t="shared" si="23"/>
        <v>0</v>
      </c>
      <c r="S53" s="325"/>
      <c r="T53" s="322">
        <v>0</v>
      </c>
      <c r="U53" s="322">
        <v>112.5</v>
      </c>
      <c r="V53" s="324">
        <f>IF(U53=0,"NA",(+T53-U53)/U53)</f>
        <v>-1</v>
      </c>
      <c r="W53" s="340" t="s">
        <v>284</v>
      </c>
      <c r="X53" s="67"/>
    </row>
    <row r="54" spans="1:24" s="4" customFormat="1">
      <c r="A54" s="47">
        <v>56</v>
      </c>
      <c r="B54" s="22" t="s">
        <v>94</v>
      </c>
      <c r="C54" s="22"/>
      <c r="D54" s="39"/>
      <c r="E54" s="97"/>
      <c r="F54" s="97"/>
      <c r="G54" s="97"/>
      <c r="H54" s="97"/>
      <c r="I54" s="97"/>
      <c r="J54" s="97"/>
      <c r="K54" s="97"/>
      <c r="L54" s="97"/>
      <c r="M54" s="97"/>
      <c r="N54" s="39"/>
      <c r="O54" s="22">
        <f>SUM(O52:O53)</f>
        <v>550</v>
      </c>
      <c r="P54" s="39">
        <f>SUM(P52:P53)</f>
        <v>550</v>
      </c>
      <c r="Q54" s="39">
        <f>SUM(Q52:Q53)</f>
        <v>0</v>
      </c>
      <c r="R54" s="23">
        <f t="shared" si="23"/>
        <v>0</v>
      </c>
      <c r="T54" s="39">
        <f>SUM(T52:T53)</f>
        <v>285.16000000000003</v>
      </c>
      <c r="U54" s="39">
        <f>SUM(U52:U53)</f>
        <v>412.47</v>
      </c>
      <c r="V54" s="23">
        <f>IF(U54=0,"NA",(+T54-U54)/U54)</f>
        <v>-0.3086527505030669</v>
      </c>
      <c r="W54" s="185" t="s">
        <v>285</v>
      </c>
      <c r="X54" s="70"/>
    </row>
    <row r="55" spans="1:24" ht="5.25" customHeight="1">
      <c r="A55" s="47">
        <v>57</v>
      </c>
      <c r="R55" s="7"/>
      <c r="W55" s="84"/>
      <c r="X55" s="68"/>
    </row>
    <row r="56" spans="1:24" ht="43.5">
      <c r="A56" s="47">
        <v>58</v>
      </c>
      <c r="B56" s="22" t="s">
        <v>26</v>
      </c>
      <c r="C56" s="24"/>
      <c r="D56" s="24"/>
      <c r="E56" s="98"/>
      <c r="F56" s="98"/>
      <c r="G56" s="98"/>
      <c r="H56" s="98"/>
      <c r="I56" s="98"/>
      <c r="J56" s="98"/>
      <c r="K56" s="98"/>
      <c r="L56" s="98"/>
      <c r="M56" s="98"/>
      <c r="N56" s="24"/>
      <c r="O56" s="62">
        <v>200</v>
      </c>
      <c r="P56" s="62">
        <v>200</v>
      </c>
      <c r="Q56" s="49">
        <f t="shared" ref="Q56" si="24">+O56-P56</f>
        <v>0</v>
      </c>
      <c r="R56" s="23">
        <f>IF(P56=0,"NA",(+O56-P56)/P56)</f>
        <v>0</v>
      </c>
      <c r="T56" s="62">
        <v>250</v>
      </c>
      <c r="U56" s="62">
        <v>200</v>
      </c>
      <c r="V56" s="23">
        <f>IF(U56=0,"NA",(+T56-U56)/U56)</f>
        <v>0.25</v>
      </c>
      <c r="W56" s="71" t="s">
        <v>246</v>
      </c>
      <c r="X56" s="67" t="s">
        <v>128</v>
      </c>
    </row>
    <row r="57" spans="1:24" ht="6" customHeight="1">
      <c r="A57" s="47">
        <v>59</v>
      </c>
      <c r="R57" s="7"/>
      <c r="W57" s="84"/>
      <c r="X57" s="68"/>
    </row>
    <row r="58" spans="1:24">
      <c r="A58" s="47">
        <v>60</v>
      </c>
      <c r="B58" s="4" t="s">
        <v>27</v>
      </c>
      <c r="R58" s="7"/>
      <c r="W58" s="84"/>
      <c r="X58" s="68"/>
    </row>
    <row r="59" spans="1:24">
      <c r="A59" s="47">
        <v>61</v>
      </c>
      <c r="C59" s="315" t="s">
        <v>28</v>
      </c>
      <c r="D59" s="327"/>
      <c r="E59" s="328"/>
      <c r="F59" s="329"/>
      <c r="G59" s="329"/>
      <c r="H59" s="329"/>
      <c r="I59" s="329"/>
      <c r="J59" s="329"/>
      <c r="K59" s="329"/>
      <c r="L59" s="329"/>
      <c r="M59" s="329"/>
      <c r="N59" s="315"/>
      <c r="O59" s="330">
        <v>200</v>
      </c>
      <c r="P59" s="312">
        <v>200</v>
      </c>
      <c r="Q59" s="313">
        <f t="shared" ref="Q59:Q65" si="25">+O59-P59</f>
        <v>0</v>
      </c>
      <c r="R59" s="314">
        <f t="shared" ref="R59:R66" si="26">IF(P59=0,"NA",(+O59-P59)/P59)</f>
        <v>0</v>
      </c>
      <c r="S59" s="315"/>
      <c r="T59" s="312">
        <v>0</v>
      </c>
      <c r="U59" s="312">
        <v>200</v>
      </c>
      <c r="V59" s="314">
        <f t="shared" ref="V59:V66" si="27">IF(U59=0,"NA",(+T59-U59)/U59)</f>
        <v>-1</v>
      </c>
      <c r="W59" s="339" t="s">
        <v>284</v>
      </c>
      <c r="X59" s="68"/>
    </row>
    <row r="60" spans="1:24" ht="15.5">
      <c r="A60" s="47">
        <v>62</v>
      </c>
      <c r="C60" s="320" t="s">
        <v>29</v>
      </c>
      <c r="D60" s="331"/>
      <c r="E60" s="332"/>
      <c r="F60" s="333"/>
      <c r="G60" s="333"/>
      <c r="H60" s="333"/>
      <c r="I60" s="333"/>
      <c r="J60" s="333"/>
      <c r="K60" s="333"/>
      <c r="L60" s="333"/>
      <c r="M60" s="333"/>
      <c r="N60" s="320"/>
      <c r="O60" s="341">
        <v>800</v>
      </c>
      <c r="P60" s="317">
        <v>800</v>
      </c>
      <c r="Q60" s="318">
        <f t="shared" si="25"/>
        <v>0</v>
      </c>
      <c r="R60" s="319">
        <f t="shared" si="26"/>
        <v>0</v>
      </c>
      <c r="S60" s="320"/>
      <c r="T60" s="317">
        <v>0</v>
      </c>
      <c r="U60" s="317">
        <v>0</v>
      </c>
      <c r="V60" s="319" t="str">
        <f t="shared" si="27"/>
        <v>NA</v>
      </c>
      <c r="W60" s="342" t="s">
        <v>286</v>
      </c>
      <c r="X60" s="72" t="s">
        <v>126</v>
      </c>
    </row>
    <row r="61" spans="1:24" ht="29">
      <c r="A61" s="47">
        <v>63</v>
      </c>
      <c r="C61" s="320" t="s">
        <v>30</v>
      </c>
      <c r="D61" s="331"/>
      <c r="E61" s="332"/>
      <c r="F61" s="333"/>
      <c r="G61" s="333"/>
      <c r="H61" s="333"/>
      <c r="I61" s="333"/>
      <c r="J61" s="333"/>
      <c r="K61" s="333"/>
      <c r="L61" s="333"/>
      <c r="M61" s="333"/>
      <c r="N61" s="320"/>
      <c r="O61" s="343">
        <v>1000</v>
      </c>
      <c r="P61" s="343">
        <v>1500</v>
      </c>
      <c r="Q61" s="318">
        <f t="shared" si="25"/>
        <v>-500</v>
      </c>
      <c r="R61" s="319">
        <f t="shared" si="26"/>
        <v>-0.33333333333333331</v>
      </c>
      <c r="S61" s="320"/>
      <c r="T61" s="317">
        <v>918.16</v>
      </c>
      <c r="U61" s="317">
        <v>1500</v>
      </c>
      <c r="V61" s="319">
        <f t="shared" si="27"/>
        <v>-0.38789333333333337</v>
      </c>
      <c r="W61" s="321" t="s">
        <v>247</v>
      </c>
      <c r="X61" s="73"/>
    </row>
    <row r="62" spans="1:24">
      <c r="A62" s="47">
        <v>64</v>
      </c>
      <c r="C62" s="320" t="s">
        <v>31</v>
      </c>
      <c r="D62" s="331"/>
      <c r="E62" s="332"/>
      <c r="F62" s="333"/>
      <c r="G62" s="333"/>
      <c r="H62" s="333"/>
      <c r="I62" s="333"/>
      <c r="J62" s="333"/>
      <c r="K62" s="333"/>
      <c r="L62" s="333"/>
      <c r="M62" s="333"/>
      <c r="N62" s="320"/>
      <c r="O62" s="343">
        <v>3000</v>
      </c>
      <c r="P62" s="343">
        <v>3000</v>
      </c>
      <c r="Q62" s="318">
        <f t="shared" si="25"/>
        <v>0</v>
      </c>
      <c r="R62" s="319">
        <f t="shared" si="26"/>
        <v>0</v>
      </c>
      <c r="S62" s="320"/>
      <c r="T62" s="317">
        <v>1728.11</v>
      </c>
      <c r="U62" s="317">
        <v>2250</v>
      </c>
      <c r="V62" s="319">
        <f t="shared" si="27"/>
        <v>-0.23195111111111116</v>
      </c>
      <c r="W62" s="321" t="s">
        <v>248</v>
      </c>
      <c r="X62" s="71"/>
    </row>
    <row r="63" spans="1:24">
      <c r="C63" s="320" t="s">
        <v>119</v>
      </c>
      <c r="D63" s="331"/>
      <c r="E63" s="332"/>
      <c r="F63" s="333"/>
      <c r="G63" s="333"/>
      <c r="H63" s="333"/>
      <c r="I63" s="333"/>
      <c r="J63" s="333"/>
      <c r="K63" s="333"/>
      <c r="L63" s="333"/>
      <c r="M63" s="333"/>
      <c r="N63" s="320"/>
      <c r="O63" s="343">
        <v>200</v>
      </c>
      <c r="P63" s="343">
        <v>200</v>
      </c>
      <c r="Q63" s="318">
        <f t="shared" ref="Q63" si="28">+O63-P63</f>
        <v>0</v>
      </c>
      <c r="R63" s="319">
        <f t="shared" ref="R63" si="29">IF(P63=0,"NA",(+O63-P63)/P63)</f>
        <v>0</v>
      </c>
      <c r="S63" s="320"/>
      <c r="T63" s="317">
        <v>50</v>
      </c>
      <c r="U63" s="317">
        <v>150.03</v>
      </c>
      <c r="V63" s="319">
        <f t="shared" ref="V63" si="30">IF(U63=0,"NA",(+T63-U63)/U63)</f>
        <v>-0.66673332000266616</v>
      </c>
      <c r="W63" s="321"/>
      <c r="X63" s="71"/>
    </row>
    <row r="64" spans="1:24">
      <c r="C64" s="320" t="s">
        <v>229</v>
      </c>
      <c r="D64" s="331"/>
      <c r="E64" s="332"/>
      <c r="F64" s="333"/>
      <c r="G64" s="333"/>
      <c r="H64" s="333"/>
      <c r="I64" s="333"/>
      <c r="J64" s="333"/>
      <c r="K64" s="333"/>
      <c r="L64" s="333"/>
      <c r="M64" s="333"/>
      <c r="N64" s="320"/>
      <c r="O64" s="343">
        <v>0</v>
      </c>
      <c r="P64" s="343">
        <v>0</v>
      </c>
      <c r="Q64" s="318">
        <f t="shared" ref="Q64" si="31">+O64-P64</f>
        <v>0</v>
      </c>
      <c r="R64" s="319" t="str">
        <f t="shared" ref="R64" si="32">IF(P64=0,"NA",(+O64-P64)/P64)</f>
        <v>NA</v>
      </c>
      <c r="S64" s="320"/>
      <c r="T64" s="317">
        <v>221.01</v>
      </c>
      <c r="U64" s="317">
        <v>0</v>
      </c>
      <c r="V64" s="319" t="str">
        <f t="shared" ref="V64" si="33">IF(U64=0,"NA",(+T64-U64)/U64)</f>
        <v>NA</v>
      </c>
      <c r="W64" s="321" t="s">
        <v>287</v>
      </c>
      <c r="X64" s="71"/>
    </row>
    <row r="65" spans="1:24" ht="43.5">
      <c r="A65" s="47">
        <v>65</v>
      </c>
      <c r="C65" s="325" t="s">
        <v>125</v>
      </c>
      <c r="D65" s="334"/>
      <c r="E65" s="335"/>
      <c r="F65" s="336"/>
      <c r="G65" s="336"/>
      <c r="H65" s="336"/>
      <c r="I65" s="336"/>
      <c r="J65" s="336"/>
      <c r="K65" s="336"/>
      <c r="L65" s="336"/>
      <c r="M65" s="336"/>
      <c r="N65" s="325"/>
      <c r="O65" s="344">
        <v>1575</v>
      </c>
      <c r="P65" s="322">
        <v>1000</v>
      </c>
      <c r="Q65" s="323">
        <f t="shared" si="25"/>
        <v>575</v>
      </c>
      <c r="R65" s="324">
        <f t="shared" si="26"/>
        <v>0.57499999999999996</v>
      </c>
      <c r="S65" s="325"/>
      <c r="T65" s="344">
        <v>361.62</v>
      </c>
      <c r="U65" s="344">
        <v>500</v>
      </c>
      <c r="V65" s="324">
        <f t="shared" si="27"/>
        <v>-0.27676000000000001</v>
      </c>
      <c r="W65" s="326" t="s">
        <v>249</v>
      </c>
      <c r="X65" s="67" t="s">
        <v>126</v>
      </c>
    </row>
    <row r="66" spans="1:24" s="4" customFormat="1">
      <c r="A66" s="47">
        <v>66</v>
      </c>
      <c r="B66" s="22" t="s">
        <v>32</v>
      </c>
      <c r="C66" s="22"/>
      <c r="D66" s="39"/>
      <c r="E66" s="97"/>
      <c r="F66" s="97"/>
      <c r="G66" s="97"/>
      <c r="H66" s="97"/>
      <c r="I66" s="97"/>
      <c r="J66" s="97"/>
      <c r="K66" s="97"/>
      <c r="L66" s="97"/>
      <c r="M66" s="97"/>
      <c r="N66" s="39"/>
      <c r="O66" s="22">
        <f>SUM(O59:O65)</f>
        <v>6775</v>
      </c>
      <c r="P66" s="39">
        <f>SUM(P59:P65)</f>
        <v>6700</v>
      </c>
      <c r="Q66" s="39">
        <f>SUM(Q59:Q65)</f>
        <v>75</v>
      </c>
      <c r="R66" s="23">
        <f t="shared" si="26"/>
        <v>1.1194029850746268E-2</v>
      </c>
      <c r="T66" s="39">
        <f>SUM(T59:T65)</f>
        <v>3278.8999999999996</v>
      </c>
      <c r="U66" s="39">
        <f>SUM(U59:U65)</f>
        <v>4600.03</v>
      </c>
      <c r="V66" s="23">
        <f t="shared" si="27"/>
        <v>-0.28720030086760306</v>
      </c>
      <c r="W66" s="86"/>
      <c r="X66" s="70"/>
    </row>
    <row r="67" spans="1:24" ht="6" customHeight="1">
      <c r="A67" s="47">
        <v>67</v>
      </c>
      <c r="R67" s="7"/>
      <c r="W67" s="84"/>
      <c r="X67" s="68"/>
    </row>
    <row r="68" spans="1:24">
      <c r="A68" s="47">
        <v>68</v>
      </c>
      <c r="B68" s="4" t="s">
        <v>33</v>
      </c>
      <c r="R68" s="7"/>
      <c r="W68" s="84"/>
      <c r="X68" s="68"/>
    </row>
    <row r="69" spans="1:24" ht="14.4" customHeight="1">
      <c r="A69" s="47">
        <v>69</v>
      </c>
      <c r="C69" s="315" t="s">
        <v>34</v>
      </c>
      <c r="D69" s="327"/>
      <c r="E69" s="328"/>
      <c r="F69" s="329"/>
      <c r="G69" s="329"/>
      <c r="H69" s="329"/>
      <c r="I69" s="329"/>
      <c r="J69" s="329"/>
      <c r="K69" s="329"/>
      <c r="L69" s="329"/>
      <c r="M69" s="329"/>
      <c r="N69" s="315"/>
      <c r="O69" s="345">
        <v>3500</v>
      </c>
      <c r="P69" s="345">
        <v>3000</v>
      </c>
      <c r="Q69" s="313">
        <f t="shared" ref="Q69:Q73" si="34">+O69-P69</f>
        <v>500</v>
      </c>
      <c r="R69" s="314">
        <f t="shared" ref="R69:R75" si="35">IF(P69=0,"NA",(+O69-P69)/P69)</f>
        <v>0.16666666666666666</v>
      </c>
      <c r="S69" s="315"/>
      <c r="T69" s="312">
        <v>2709.24</v>
      </c>
      <c r="U69" s="312">
        <v>2250</v>
      </c>
      <c r="V69" s="314">
        <f t="shared" ref="V69:V75" si="36">IF(U69=0,"NA",(+T69-U69)/U69)</f>
        <v>0.20410666666666658</v>
      </c>
      <c r="W69" s="316" t="s">
        <v>288</v>
      </c>
      <c r="X69" s="71" t="s">
        <v>141</v>
      </c>
    </row>
    <row r="70" spans="1:24">
      <c r="A70" s="47">
        <v>70</v>
      </c>
      <c r="C70" s="320" t="s">
        <v>35</v>
      </c>
      <c r="D70" s="331"/>
      <c r="E70" s="332"/>
      <c r="F70" s="333"/>
      <c r="G70" s="333"/>
      <c r="H70" s="333"/>
      <c r="I70" s="333"/>
      <c r="J70" s="333"/>
      <c r="K70" s="333"/>
      <c r="L70" s="333"/>
      <c r="M70" s="333"/>
      <c r="N70" s="320"/>
      <c r="O70" s="317">
        <v>3250</v>
      </c>
      <c r="P70" s="317">
        <v>3250</v>
      </c>
      <c r="Q70" s="318">
        <f t="shared" si="34"/>
        <v>0</v>
      </c>
      <c r="R70" s="319">
        <f t="shared" si="35"/>
        <v>0</v>
      </c>
      <c r="S70" s="320"/>
      <c r="T70" s="317">
        <v>2430.73</v>
      </c>
      <c r="U70" s="317">
        <v>2437.4699999999998</v>
      </c>
      <c r="V70" s="319">
        <f t="shared" si="36"/>
        <v>-2.7651622378941205E-3</v>
      </c>
      <c r="W70" s="321"/>
      <c r="X70" s="71" t="s">
        <v>127</v>
      </c>
    </row>
    <row r="71" spans="1:24" ht="14.5" customHeight="1">
      <c r="A71" s="47">
        <v>73</v>
      </c>
      <c r="C71" s="320" t="s">
        <v>36</v>
      </c>
      <c r="D71" s="331"/>
      <c r="E71" s="332"/>
      <c r="F71" s="333"/>
      <c r="G71" s="333"/>
      <c r="H71" s="333"/>
      <c r="I71" s="333"/>
      <c r="J71" s="333"/>
      <c r="K71" s="333"/>
      <c r="L71" s="333"/>
      <c r="M71" s="333"/>
      <c r="N71" s="320"/>
      <c r="O71" s="341">
        <v>13000</v>
      </c>
      <c r="P71" s="343">
        <v>13000</v>
      </c>
      <c r="Q71" s="318">
        <f t="shared" si="34"/>
        <v>0</v>
      </c>
      <c r="R71" s="319">
        <f t="shared" si="35"/>
        <v>0</v>
      </c>
      <c r="S71" s="320"/>
      <c r="T71" s="317">
        <v>11255.91</v>
      </c>
      <c r="U71" s="317">
        <v>9749.9699999999993</v>
      </c>
      <c r="V71" s="319">
        <f t="shared" si="36"/>
        <v>0.15445585986418425</v>
      </c>
      <c r="W71" s="342" t="s">
        <v>240</v>
      </c>
      <c r="X71" s="71" t="s">
        <v>152</v>
      </c>
    </row>
    <row r="72" spans="1:24" ht="31.5" customHeight="1">
      <c r="A72" s="47">
        <v>74</v>
      </c>
      <c r="C72" s="320" t="s">
        <v>37</v>
      </c>
      <c r="D72" s="331"/>
      <c r="E72" s="332"/>
      <c r="F72" s="333"/>
      <c r="G72" s="333"/>
      <c r="H72" s="333"/>
      <c r="I72" s="333"/>
      <c r="J72" s="333"/>
      <c r="K72" s="333"/>
      <c r="L72" s="333"/>
      <c r="M72" s="333"/>
      <c r="N72" s="320"/>
      <c r="O72" s="341">
        <v>1000</v>
      </c>
      <c r="P72" s="317">
        <v>700</v>
      </c>
      <c r="Q72" s="318">
        <f t="shared" si="34"/>
        <v>300</v>
      </c>
      <c r="R72" s="319">
        <f t="shared" si="35"/>
        <v>0.42857142857142855</v>
      </c>
      <c r="S72" s="320"/>
      <c r="T72" s="317">
        <v>978.89</v>
      </c>
      <c r="U72" s="317">
        <v>524.97</v>
      </c>
      <c r="V72" s="319">
        <f t="shared" si="36"/>
        <v>0.86465893289140316</v>
      </c>
      <c r="W72" s="342" t="s">
        <v>258</v>
      </c>
      <c r="X72" s="68"/>
    </row>
    <row r="73" spans="1:24" ht="29.5" thickBot="1">
      <c r="A73" s="47">
        <v>75</v>
      </c>
      <c r="C73" s="325" t="s">
        <v>38</v>
      </c>
      <c r="D73" s="334"/>
      <c r="E73" s="346" t="s">
        <v>188</v>
      </c>
      <c r="F73" s="347"/>
      <c r="G73" s="347"/>
      <c r="H73" s="347"/>
      <c r="I73" s="347"/>
      <c r="J73" s="347"/>
      <c r="K73" s="347"/>
      <c r="L73" s="347"/>
      <c r="M73" s="348"/>
      <c r="N73" s="325"/>
      <c r="O73" s="349">
        <v>1600</v>
      </c>
      <c r="P73" s="344">
        <v>1000</v>
      </c>
      <c r="Q73" s="323">
        <f t="shared" si="34"/>
        <v>600</v>
      </c>
      <c r="R73" s="324">
        <f t="shared" si="35"/>
        <v>0.6</v>
      </c>
      <c r="S73" s="325"/>
      <c r="T73" s="322">
        <v>1210.48</v>
      </c>
      <c r="U73" s="322">
        <v>749.97</v>
      </c>
      <c r="V73" s="324">
        <f t="shared" si="36"/>
        <v>0.6140378948491273</v>
      </c>
      <c r="W73" s="340" t="s">
        <v>250</v>
      </c>
      <c r="X73" s="71" t="s">
        <v>142</v>
      </c>
    </row>
    <row r="74" spans="1:24" s="4" customFormat="1">
      <c r="A74" s="47">
        <v>76</v>
      </c>
      <c r="B74" s="22" t="s">
        <v>40</v>
      </c>
      <c r="C74" s="22"/>
      <c r="D74" s="39"/>
      <c r="E74" s="163">
        <f>Bud_Yr</f>
        <v>2019</v>
      </c>
      <c r="F74" s="164"/>
      <c r="G74" s="164"/>
      <c r="H74" s="164"/>
      <c r="I74" s="164">
        <f>Bud_Yr-1</f>
        <v>2018</v>
      </c>
      <c r="J74" s="164"/>
      <c r="K74" s="164"/>
      <c r="L74" s="164"/>
      <c r="M74" s="107">
        <f>Bud_Yr-2</f>
        <v>2017</v>
      </c>
      <c r="N74" s="39"/>
      <c r="O74" s="22">
        <f>SUM(O69:O73)</f>
        <v>22350</v>
      </c>
      <c r="P74" s="39">
        <f>SUM(P69:P73)</f>
        <v>20950</v>
      </c>
      <c r="Q74" s="39">
        <f>SUM(Q69:Q73)</f>
        <v>1400</v>
      </c>
      <c r="R74" s="23">
        <f t="shared" si="35"/>
        <v>6.6825775656324582E-2</v>
      </c>
      <c r="T74" s="39">
        <f>SUM(T69:T73)</f>
        <v>18585.249999999996</v>
      </c>
      <c r="U74" s="39">
        <f>SUM(U69:U73)</f>
        <v>15712.379999999997</v>
      </c>
      <c r="V74" s="23">
        <f t="shared" si="36"/>
        <v>0.18284117364778599</v>
      </c>
      <c r="W74" s="111"/>
      <c r="X74" s="70"/>
    </row>
    <row r="75" spans="1:24" ht="15" thickBot="1">
      <c r="A75" s="47">
        <v>77</v>
      </c>
      <c r="B75" s="22" t="s">
        <v>93</v>
      </c>
      <c r="C75" s="25"/>
      <c r="D75" s="25"/>
      <c r="E75" s="108" t="s">
        <v>186</v>
      </c>
      <c r="F75" s="109" t="s">
        <v>187</v>
      </c>
      <c r="G75" s="109" t="s">
        <v>190</v>
      </c>
      <c r="H75" s="109" t="s">
        <v>185</v>
      </c>
      <c r="I75" s="109" t="s">
        <v>186</v>
      </c>
      <c r="J75" s="109" t="s">
        <v>187</v>
      </c>
      <c r="K75" s="109" t="s">
        <v>190</v>
      </c>
      <c r="L75" s="109" t="s">
        <v>185</v>
      </c>
      <c r="M75" s="110" t="s">
        <v>187</v>
      </c>
      <c r="N75" s="25"/>
      <c r="O75" s="22">
        <f>+O40+O47+O49+O56+O66+O74+O54</f>
        <v>53425</v>
      </c>
      <c r="P75" s="39">
        <f>+P40+P47+P49+P56+P66+P74+P54</f>
        <v>51350</v>
      </c>
      <c r="Q75" s="39">
        <f>+Q40+Q47+Q49+Q56+Q66+Q74+Q54</f>
        <v>2075</v>
      </c>
      <c r="R75" s="23">
        <f t="shared" si="35"/>
        <v>4.0408958130477117E-2</v>
      </c>
      <c r="T75" s="39">
        <f>+T40+T47+T49+T56+T66+T74+T54</f>
        <v>33263.35</v>
      </c>
      <c r="U75" s="39">
        <f>+U40+U47+U49+U56+U66+U74+U54</f>
        <v>40422.44</v>
      </c>
      <c r="V75" s="23">
        <f t="shared" si="36"/>
        <v>-0.17710682482304391</v>
      </c>
      <c r="W75" s="84"/>
      <c r="X75" s="68"/>
    </row>
    <row r="76" spans="1:24" ht="8.25" customHeight="1">
      <c r="A76" s="47">
        <v>78</v>
      </c>
      <c r="R76" s="7"/>
      <c r="W76" s="84"/>
      <c r="X76" s="68"/>
    </row>
    <row r="77" spans="1:24" ht="30" customHeight="1">
      <c r="A77" s="47">
        <v>79</v>
      </c>
      <c r="B77" s="9" t="s">
        <v>39</v>
      </c>
      <c r="F77" s="99">
        <v>0.02</v>
      </c>
      <c r="G77" s="165" t="s">
        <v>108</v>
      </c>
      <c r="H77" s="165"/>
      <c r="K77" s="90" t="s">
        <v>213</v>
      </c>
      <c r="L77" s="99">
        <v>1.4E-2</v>
      </c>
      <c r="N77" s="147" t="s">
        <v>103</v>
      </c>
      <c r="R77" s="7"/>
      <c r="W77" s="84"/>
      <c r="X77" s="68"/>
    </row>
    <row r="78" spans="1:24" ht="15" customHeight="1">
      <c r="A78" s="47">
        <v>80</v>
      </c>
      <c r="B78" s="4" t="s">
        <v>172</v>
      </c>
      <c r="D78" s="59" t="s">
        <v>321</v>
      </c>
      <c r="F78" s="99">
        <v>0.02</v>
      </c>
      <c r="G78" s="165" t="s">
        <v>109</v>
      </c>
      <c r="H78" s="165"/>
      <c r="K78" s="90"/>
      <c r="N78" s="147"/>
      <c r="Q78" s="137"/>
      <c r="R78" s="7"/>
      <c r="T78" s="166"/>
      <c r="U78" s="37"/>
      <c r="W78" s="71" t="s">
        <v>251</v>
      </c>
      <c r="X78" s="67"/>
    </row>
    <row r="79" spans="1:24" ht="14.5" customHeight="1">
      <c r="A79" s="47">
        <v>81</v>
      </c>
      <c r="C79" s="315" t="s">
        <v>215</v>
      </c>
      <c r="D79" s="327"/>
      <c r="E79" s="328"/>
      <c r="F79" s="350"/>
      <c r="G79" s="328"/>
      <c r="H79" s="351"/>
      <c r="I79" s="352"/>
      <c r="J79" s="328"/>
      <c r="K79" s="352"/>
      <c r="L79" s="353"/>
      <c r="M79" s="354"/>
      <c r="N79" s="327"/>
      <c r="O79" s="355">
        <f>+'Pastor Detail'!G17</f>
        <v>72737</v>
      </c>
      <c r="P79" s="355">
        <f>+'Pastor Detail'!D11</f>
        <v>65896.916666666672</v>
      </c>
      <c r="Q79" s="313">
        <f t="shared" ref="Q79:Q89" si="37">+O79-P79</f>
        <v>6840.0833333333285</v>
      </c>
      <c r="R79" s="314">
        <f t="shared" ref="R79:R90" si="38">IF(P79=0,"NA",(+O79-P79)/P79)</f>
        <v>0.10379974783847996</v>
      </c>
      <c r="S79" s="315"/>
      <c r="T79" s="312">
        <f>33123.14+15583.39</f>
        <v>48706.53</v>
      </c>
      <c r="U79" s="312">
        <f>33123.14+15583.39</f>
        <v>48706.53</v>
      </c>
      <c r="V79" s="314">
        <f t="shared" ref="V79:V90" si="39">IF(U79=0,"NA",(+T79-U79)/U79)</f>
        <v>0</v>
      </c>
      <c r="W79" s="316"/>
      <c r="X79" s="71" t="s">
        <v>143</v>
      </c>
    </row>
    <row r="80" spans="1:24">
      <c r="A80" s="47">
        <v>82</v>
      </c>
      <c r="C80" s="320" t="s">
        <v>41</v>
      </c>
      <c r="D80" s="331"/>
      <c r="E80" s="332"/>
      <c r="F80" s="356" t="s">
        <v>257</v>
      </c>
      <c r="G80" s="357">
        <f>+('Pastor Detail'!G11+O106+O135+O142)-('Pastor Detail'!G6+P106+P135+P142)</f>
        <v>1957</v>
      </c>
      <c r="H80" s="358" t="s">
        <v>312</v>
      </c>
      <c r="I80" s="359"/>
      <c r="J80" s="332"/>
      <c r="K80" s="360"/>
      <c r="L80" s="332"/>
      <c r="M80" s="361"/>
      <c r="N80" s="362"/>
      <c r="O80" s="363">
        <f>+'Pastor Detail'!G54</f>
        <v>1500</v>
      </c>
      <c r="P80" s="343">
        <v>1500</v>
      </c>
      <c r="Q80" s="318">
        <f t="shared" si="37"/>
        <v>0</v>
      </c>
      <c r="R80" s="319">
        <f t="shared" si="38"/>
        <v>0</v>
      </c>
      <c r="S80" s="320"/>
      <c r="T80" s="317">
        <v>465.11</v>
      </c>
      <c r="U80" s="317">
        <v>1125</v>
      </c>
      <c r="V80" s="319">
        <f t="shared" si="39"/>
        <v>-0.58656888888888892</v>
      </c>
      <c r="W80" s="321" t="s">
        <v>203</v>
      </c>
      <c r="X80" s="71"/>
    </row>
    <row r="81" spans="1:24" ht="14.5" customHeight="1">
      <c r="C81" s="320" t="s">
        <v>112</v>
      </c>
      <c r="D81" s="331"/>
      <c r="E81" s="332"/>
      <c r="F81" s="356" t="s">
        <v>257</v>
      </c>
      <c r="G81" s="357">
        <f>(+O121+O123+O124+O125+O126+O128)-(P121+P123+P124+P125+P126+P128)</f>
        <v>956</v>
      </c>
      <c r="H81" s="332"/>
      <c r="I81" s="332"/>
      <c r="J81" s="358"/>
      <c r="K81" s="332"/>
      <c r="L81" s="332"/>
      <c r="M81" s="332"/>
      <c r="N81" s="362"/>
      <c r="O81" s="363">
        <f>+'Pastor Detail'!G21</f>
        <v>5564.3805000000002</v>
      </c>
      <c r="P81" s="343">
        <v>0</v>
      </c>
      <c r="Q81" s="318">
        <f t="shared" si="37"/>
        <v>5564.3805000000002</v>
      </c>
      <c r="R81" s="319" t="str">
        <f t="shared" ref="R81:R83" si="40">IF(P81=0,"NA",(+O81-P81)/P81)</f>
        <v>NA</v>
      </c>
      <c r="S81" s="320"/>
      <c r="T81" s="317">
        <v>3726.06</v>
      </c>
      <c r="U81" s="317">
        <v>0</v>
      </c>
      <c r="V81" s="319" t="str">
        <f t="shared" ref="V81:V83" si="41">IF(U81=0,"NA",(+T81-U81)/U81)</f>
        <v>NA</v>
      </c>
      <c r="W81" s="321" t="s">
        <v>319</v>
      </c>
      <c r="X81" s="71"/>
    </row>
    <row r="82" spans="1:24" ht="43.5">
      <c r="C82" s="364" t="s">
        <v>212</v>
      </c>
      <c r="D82" s="364"/>
      <c r="E82" s="365"/>
      <c r="F82" s="366" t="s">
        <v>313</v>
      </c>
      <c r="G82" s="367">
        <f>+G80+G81</f>
        <v>2913</v>
      </c>
      <c r="H82" s="368"/>
      <c r="I82" s="363"/>
      <c r="J82" s="369"/>
      <c r="K82" s="332"/>
      <c r="L82" s="370"/>
      <c r="M82" s="370"/>
      <c r="N82" s="370"/>
      <c r="O82" s="343">
        <v>0</v>
      </c>
      <c r="P82" s="363">
        <f>+'Pastor Detail'!D38</f>
        <v>8015</v>
      </c>
      <c r="Q82" s="318">
        <f t="shared" ref="Q82" si="42">+O82-P82</f>
        <v>-8015</v>
      </c>
      <c r="R82" s="319">
        <f t="shared" ref="R82" si="43">IF(P82=0,"NA",(+O82-P82)/P82)</f>
        <v>-1</v>
      </c>
      <c r="S82" s="320"/>
      <c r="T82" s="317">
        <v>0</v>
      </c>
      <c r="U82" s="317">
        <v>5924.16</v>
      </c>
      <c r="V82" s="319">
        <f t="shared" ref="V82" si="44">IF(U82=0,"NA",(+T82-U82)/U82)</f>
        <v>-1</v>
      </c>
      <c r="W82" s="321" t="s">
        <v>289</v>
      </c>
      <c r="X82" s="71"/>
    </row>
    <row r="83" spans="1:24" ht="14" customHeight="1">
      <c r="C83" s="320" t="s">
        <v>205</v>
      </c>
      <c r="D83" s="331"/>
      <c r="E83" s="332"/>
      <c r="F83" s="369"/>
      <c r="G83" s="332"/>
      <c r="H83" s="371"/>
      <c r="I83" s="332"/>
      <c r="J83" s="332"/>
      <c r="K83" s="332"/>
      <c r="L83" s="332"/>
      <c r="M83" s="332"/>
      <c r="N83" s="372"/>
      <c r="O83" s="363">
        <f>+'Pastor Detail'!G39</f>
        <v>16110</v>
      </c>
      <c r="P83" s="363">
        <f>+'Pastor Detail'!D37</f>
        <v>8752.2796120833355</v>
      </c>
      <c r="Q83" s="318">
        <f t="shared" ref="Q83" si="45">+O83-P83</f>
        <v>7357.7203879166645</v>
      </c>
      <c r="R83" s="319">
        <f t="shared" si="40"/>
        <v>0.84066331447622489</v>
      </c>
      <c r="S83" s="320"/>
      <c r="T83" s="317">
        <v>10255.6</v>
      </c>
      <c r="U83" s="343">
        <v>6468.84</v>
      </c>
      <c r="V83" s="319">
        <f t="shared" si="41"/>
        <v>0.58538470575868318</v>
      </c>
      <c r="W83" s="321" t="s">
        <v>308</v>
      </c>
      <c r="X83" s="75" t="s">
        <v>162</v>
      </c>
    </row>
    <row r="84" spans="1:24" ht="14.4" customHeight="1">
      <c r="C84" s="320" t="s">
        <v>207</v>
      </c>
      <c r="D84" s="331"/>
      <c r="E84" s="332"/>
      <c r="F84" s="332"/>
      <c r="G84" s="332"/>
      <c r="H84" s="373"/>
      <c r="I84" s="332"/>
      <c r="J84" s="332"/>
      <c r="K84" s="332"/>
      <c r="L84" s="332"/>
      <c r="M84" s="332"/>
      <c r="N84" s="374"/>
      <c r="O84" s="363">
        <v>0</v>
      </c>
      <c r="P84" s="343">
        <v>0</v>
      </c>
      <c r="Q84" s="318">
        <f t="shared" ref="Q84" si="46">+O84-P84</f>
        <v>0</v>
      </c>
      <c r="R84" s="319" t="str">
        <f t="shared" ref="R84" si="47">IF(P84=0,"NA",(+O84-P84)/P84)</f>
        <v>NA</v>
      </c>
      <c r="S84" s="320"/>
      <c r="T84" s="317">
        <v>0</v>
      </c>
      <c r="U84" s="343">
        <v>0</v>
      </c>
      <c r="V84" s="319" t="str">
        <f t="shared" ref="V84" si="48">IF(U84=0,"NA",(+T84-U84)/U84)</f>
        <v>NA</v>
      </c>
      <c r="W84" s="375" t="s">
        <v>211</v>
      </c>
      <c r="X84" s="75" t="s">
        <v>162</v>
      </c>
    </row>
    <row r="85" spans="1:24" ht="14.4" customHeight="1">
      <c r="A85" s="47">
        <v>83</v>
      </c>
      <c r="C85" s="320" t="s">
        <v>206</v>
      </c>
      <c r="D85" s="331"/>
      <c r="E85" s="361"/>
      <c r="F85" s="373"/>
      <c r="G85" s="361"/>
      <c r="H85" s="373"/>
      <c r="I85" s="361"/>
      <c r="J85" s="373"/>
      <c r="K85" s="376"/>
      <c r="L85" s="332"/>
      <c r="M85" s="332"/>
      <c r="N85" s="372"/>
      <c r="O85" s="363">
        <f>+'Pastor Detail'!G51</f>
        <v>2662</v>
      </c>
      <c r="P85" s="363">
        <f>+'Pastor Detail'!D51</f>
        <v>3183.6471316666675</v>
      </c>
      <c r="Q85" s="318">
        <f t="shared" si="37"/>
        <v>-521.64713166666752</v>
      </c>
      <c r="R85" s="319">
        <f t="shared" si="38"/>
        <v>-0.16385205711965339</v>
      </c>
      <c r="S85" s="320"/>
      <c r="T85" s="317">
        <v>1992.08</v>
      </c>
      <c r="U85" s="343">
        <v>2353.39</v>
      </c>
      <c r="V85" s="319">
        <f t="shared" si="39"/>
        <v>-0.15352746463612066</v>
      </c>
      <c r="W85" s="375" t="s">
        <v>214</v>
      </c>
      <c r="X85" s="75" t="s">
        <v>162</v>
      </c>
    </row>
    <row r="86" spans="1:24">
      <c r="A86" s="47">
        <v>84</v>
      </c>
      <c r="C86" s="320" t="s">
        <v>43</v>
      </c>
      <c r="D86" s="331"/>
      <c r="E86" s="361"/>
      <c r="F86" s="373"/>
      <c r="G86" s="361"/>
      <c r="H86" s="373"/>
      <c r="I86" s="361"/>
      <c r="J86" s="373"/>
      <c r="K86" s="376"/>
      <c r="L86" s="332"/>
      <c r="M86" s="332"/>
      <c r="N86" s="372"/>
      <c r="O86" s="343">
        <v>0</v>
      </c>
      <c r="P86" s="343">
        <v>0</v>
      </c>
      <c r="Q86" s="318">
        <f t="shared" si="37"/>
        <v>0</v>
      </c>
      <c r="R86" s="319" t="str">
        <f t="shared" si="38"/>
        <v>NA</v>
      </c>
      <c r="S86" s="320"/>
      <c r="T86" s="317">
        <v>0</v>
      </c>
      <c r="U86" s="317">
        <v>0</v>
      </c>
      <c r="V86" s="319" t="str">
        <f t="shared" si="39"/>
        <v>NA</v>
      </c>
      <c r="W86" s="321"/>
      <c r="X86" s="71"/>
    </row>
    <row r="87" spans="1:24">
      <c r="C87" s="320" t="s">
        <v>114</v>
      </c>
      <c r="D87" s="331"/>
      <c r="E87" s="332"/>
      <c r="F87" s="332"/>
      <c r="G87" s="332"/>
      <c r="H87" s="332"/>
      <c r="I87" s="332"/>
      <c r="J87" s="332"/>
      <c r="K87" s="332"/>
      <c r="L87" s="332"/>
      <c r="M87" s="332"/>
      <c r="N87" s="372"/>
      <c r="O87" s="363">
        <f>+'Pastor Detail'!G56</f>
        <v>600</v>
      </c>
      <c r="P87" s="343">
        <f>+(600)</f>
        <v>600</v>
      </c>
      <c r="Q87" s="318">
        <f t="shared" si="37"/>
        <v>0</v>
      </c>
      <c r="R87" s="319">
        <f t="shared" ref="R87" si="49">IF(P87=0,"NA",(+O87-P87)/P87)</f>
        <v>0</v>
      </c>
      <c r="S87" s="320"/>
      <c r="T87" s="317">
        <v>52.4</v>
      </c>
      <c r="U87" s="317">
        <v>450</v>
      </c>
      <c r="V87" s="319">
        <f t="shared" ref="V87" si="50">IF(U87=0,"NA",(+T87-U87)/U87)</f>
        <v>-0.88355555555555565</v>
      </c>
      <c r="W87" s="321" t="s">
        <v>204</v>
      </c>
      <c r="X87" s="71"/>
    </row>
    <row r="88" spans="1:24">
      <c r="C88" s="320" t="s">
        <v>304</v>
      </c>
      <c r="D88" s="331"/>
      <c r="E88" s="332"/>
      <c r="F88" s="333"/>
      <c r="G88" s="333"/>
      <c r="H88" s="333"/>
      <c r="I88" s="333"/>
      <c r="J88" s="333"/>
      <c r="K88" s="333"/>
      <c r="L88" s="333"/>
      <c r="M88" s="333"/>
      <c r="N88" s="377"/>
      <c r="O88" s="378">
        <f>+'Pastor Detail'!G57</f>
        <v>300</v>
      </c>
      <c r="P88" s="343">
        <v>0</v>
      </c>
      <c r="Q88" s="318">
        <f t="shared" ref="Q88" si="51">+O88-P88</f>
        <v>300</v>
      </c>
      <c r="R88" s="319" t="str">
        <f t="shared" ref="R88" si="52">IF(P88=0,"NA",(+O88-P88)/P88)</f>
        <v>NA</v>
      </c>
      <c r="S88" s="320"/>
      <c r="T88" s="317">
        <v>0</v>
      </c>
      <c r="U88" s="317">
        <v>0</v>
      </c>
      <c r="V88" s="319" t="str">
        <f t="shared" ref="V88" si="53">IF(U88=0,"NA",(+T88-U88)/U88)</f>
        <v>NA</v>
      </c>
      <c r="W88" s="342" t="s">
        <v>322</v>
      </c>
      <c r="X88" s="71"/>
    </row>
    <row r="89" spans="1:24" ht="29">
      <c r="A89" s="47">
        <v>85</v>
      </c>
      <c r="C89" s="325" t="s">
        <v>44</v>
      </c>
      <c r="D89" s="334"/>
      <c r="E89" s="335"/>
      <c r="F89" s="336"/>
      <c r="G89" s="336"/>
      <c r="H89" s="336"/>
      <c r="I89" s="336"/>
      <c r="J89" s="336"/>
      <c r="K89" s="336"/>
      <c r="L89" s="336"/>
      <c r="M89" s="336"/>
      <c r="N89" s="379"/>
      <c r="O89" s="380">
        <f>+'Pastor Detail'!G55</f>
        <v>1000</v>
      </c>
      <c r="P89" s="344">
        <v>1000</v>
      </c>
      <c r="Q89" s="323">
        <f t="shared" si="37"/>
        <v>0</v>
      </c>
      <c r="R89" s="324">
        <f t="shared" si="38"/>
        <v>0</v>
      </c>
      <c r="S89" s="325"/>
      <c r="T89" s="322">
        <v>242.09</v>
      </c>
      <c r="U89" s="322">
        <v>749.97</v>
      </c>
      <c r="V89" s="324">
        <f t="shared" si="39"/>
        <v>-0.67720042135018732</v>
      </c>
      <c r="W89" s="326" t="s">
        <v>307</v>
      </c>
      <c r="X89" s="71"/>
    </row>
    <row r="90" spans="1:24" s="4" customFormat="1">
      <c r="A90" s="47">
        <v>86</v>
      </c>
      <c r="B90" s="26" t="s">
        <v>173</v>
      </c>
      <c r="C90" s="26"/>
      <c r="D90" s="26"/>
      <c r="E90" s="100"/>
      <c r="F90" s="100"/>
      <c r="G90" s="100"/>
      <c r="H90" s="100"/>
      <c r="I90" s="100"/>
      <c r="J90" s="100"/>
      <c r="K90" s="100"/>
      <c r="L90" s="100"/>
      <c r="M90" s="100"/>
      <c r="N90" s="26"/>
      <c r="O90" s="26">
        <f>SUM(O79:O89)</f>
        <v>100473.3805</v>
      </c>
      <c r="P90" s="26">
        <f>SUM(P79:P89)</f>
        <v>88947.843410416681</v>
      </c>
      <c r="Q90" s="26">
        <f>SUM(Q79:Q89)</f>
        <v>11525.537089583326</v>
      </c>
      <c r="R90" s="27">
        <f t="shared" si="38"/>
        <v>0.12957635224952022</v>
      </c>
      <c r="T90" s="26">
        <f>SUM(T79:T89)</f>
        <v>65439.869999999995</v>
      </c>
      <c r="U90" s="26">
        <f>SUM(U79:U89)</f>
        <v>65777.89</v>
      </c>
      <c r="V90" s="27">
        <f t="shared" si="39"/>
        <v>-5.1388088003431562E-3</v>
      </c>
      <c r="W90" s="86"/>
      <c r="X90" s="70"/>
    </row>
    <row r="91" spans="1:24" ht="6.75" customHeight="1">
      <c r="A91" s="47">
        <v>87</v>
      </c>
      <c r="R91" s="7"/>
      <c r="W91" s="84"/>
      <c r="X91" s="68"/>
    </row>
    <row r="92" spans="1:24">
      <c r="A92" s="47">
        <v>88</v>
      </c>
      <c r="B92" s="4" t="s">
        <v>242</v>
      </c>
      <c r="O92" s="42"/>
      <c r="R92" s="7"/>
      <c r="W92" s="84"/>
      <c r="X92" s="68"/>
    </row>
    <row r="93" spans="1:24">
      <c r="A93" s="47">
        <v>89</v>
      </c>
      <c r="C93" s="315" t="s">
        <v>45</v>
      </c>
      <c r="D93" s="327"/>
      <c r="E93" s="328"/>
      <c r="F93" s="329"/>
      <c r="G93" s="329"/>
      <c r="H93" s="381"/>
      <c r="I93" s="382"/>
      <c r="J93" s="382"/>
      <c r="K93" s="381"/>
      <c r="L93" s="381"/>
      <c r="M93" s="382"/>
      <c r="N93" s="315"/>
      <c r="O93" s="345">
        <v>45000</v>
      </c>
      <c r="P93" s="312">
        <v>0</v>
      </c>
      <c r="Q93" s="313">
        <f t="shared" ref="Q93:Q97" si="54">+O93-P93</f>
        <v>45000</v>
      </c>
      <c r="R93" s="314" t="str">
        <f t="shared" ref="R93:R98" si="55">IF(P93=0,"NA",(+O93-P93)/P93)</f>
        <v>NA</v>
      </c>
      <c r="S93" s="315"/>
      <c r="T93" s="312">
        <v>0</v>
      </c>
      <c r="U93" s="312">
        <v>0</v>
      </c>
      <c r="V93" s="314" t="str">
        <f>IF(U93=0,"NA",(+T93-U93)/U93)</f>
        <v>NA</v>
      </c>
      <c r="W93" s="316"/>
      <c r="X93" s="67" t="s">
        <v>144</v>
      </c>
    </row>
    <row r="94" spans="1:24">
      <c r="C94" s="320" t="s">
        <v>44</v>
      </c>
      <c r="D94" s="331"/>
      <c r="E94" s="332"/>
      <c r="F94" s="333"/>
      <c r="G94" s="333"/>
      <c r="H94" s="383"/>
      <c r="I94" s="383"/>
      <c r="J94" s="383"/>
      <c r="K94" s="383"/>
      <c r="L94" s="383"/>
      <c r="M94" s="383"/>
      <c r="N94" s="320"/>
      <c r="O94" s="343">
        <v>750</v>
      </c>
      <c r="P94" s="317">
        <v>0</v>
      </c>
      <c r="Q94" s="318">
        <f t="shared" ref="Q94:Q95" si="56">+O94-P94</f>
        <v>750</v>
      </c>
      <c r="R94" s="319" t="str">
        <f t="shared" ref="R94:R95" si="57">IF(P94=0,"NA",(+O94-P94)/P94)</f>
        <v>NA</v>
      </c>
      <c r="S94" s="320"/>
      <c r="T94" s="317">
        <v>0</v>
      </c>
      <c r="U94" s="317">
        <v>0</v>
      </c>
      <c r="V94" s="319" t="str">
        <f>IF(U94=0,"NA",(+T94-U94)/U94)</f>
        <v>NA</v>
      </c>
      <c r="W94" s="321"/>
      <c r="X94" s="67"/>
    </row>
    <row r="95" spans="1:24">
      <c r="C95" s="320" t="s">
        <v>46</v>
      </c>
      <c r="D95" s="331"/>
      <c r="E95" s="332"/>
      <c r="F95" s="333"/>
      <c r="G95" s="333"/>
      <c r="H95" s="383"/>
      <c r="I95" s="383"/>
      <c r="J95" s="383"/>
      <c r="K95" s="383"/>
      <c r="L95" s="383"/>
      <c r="M95" s="383"/>
      <c r="N95" s="320"/>
      <c r="O95" s="343">
        <v>1500</v>
      </c>
      <c r="P95" s="317">
        <v>0</v>
      </c>
      <c r="Q95" s="318">
        <f t="shared" si="56"/>
        <v>1500</v>
      </c>
      <c r="R95" s="319" t="str">
        <f t="shared" si="57"/>
        <v>NA</v>
      </c>
      <c r="S95" s="320"/>
      <c r="T95" s="317">
        <v>0</v>
      </c>
      <c r="U95" s="317">
        <v>0</v>
      </c>
      <c r="V95" s="319" t="str">
        <f>IF(U95=0,"NA",(+T95-U95)/U95)</f>
        <v>NA</v>
      </c>
      <c r="W95" s="321"/>
      <c r="X95" s="67"/>
    </row>
    <row r="96" spans="1:24">
      <c r="C96" s="320" t="s">
        <v>114</v>
      </c>
      <c r="D96" s="331"/>
      <c r="E96" s="332"/>
      <c r="F96" s="333"/>
      <c r="G96" s="333"/>
      <c r="H96" s="383"/>
      <c r="I96" s="383"/>
      <c r="J96" s="383"/>
      <c r="K96" s="383"/>
      <c r="L96" s="383"/>
      <c r="M96" s="383"/>
      <c r="N96" s="320"/>
      <c r="O96" s="343">
        <v>350</v>
      </c>
      <c r="P96" s="317">
        <v>0</v>
      </c>
      <c r="Q96" s="318">
        <f t="shared" ref="Q96" si="58">+O96-P96</f>
        <v>350</v>
      </c>
      <c r="R96" s="319" t="str">
        <f t="shared" ref="R96" si="59">IF(P96=0,"NA",(+O96-P96)/P96)</f>
        <v>NA</v>
      </c>
      <c r="S96" s="320"/>
      <c r="T96" s="317">
        <v>0</v>
      </c>
      <c r="U96" s="317">
        <v>0</v>
      </c>
      <c r="V96" s="319" t="str">
        <f>IF(U96=0,"NA",(+T96-U96)/U96)</f>
        <v>NA</v>
      </c>
      <c r="W96" s="321"/>
      <c r="X96" s="67"/>
    </row>
    <row r="97" spans="1:24">
      <c r="A97" s="47">
        <v>90</v>
      </c>
      <c r="C97" s="325" t="s">
        <v>317</v>
      </c>
      <c r="D97" s="334"/>
      <c r="E97" s="335"/>
      <c r="F97" s="336"/>
      <c r="G97" s="336"/>
      <c r="H97" s="336"/>
      <c r="I97" s="336"/>
      <c r="J97" s="336"/>
      <c r="K97" s="336"/>
      <c r="L97" s="336"/>
      <c r="M97" s="336"/>
      <c r="N97" s="325"/>
      <c r="O97" s="344">
        <f>500+500+1000</f>
        <v>2000</v>
      </c>
      <c r="P97" s="322">
        <v>0</v>
      </c>
      <c r="Q97" s="323">
        <f t="shared" si="54"/>
        <v>2000</v>
      </c>
      <c r="R97" s="324" t="str">
        <f t="shared" si="55"/>
        <v>NA</v>
      </c>
      <c r="S97" s="325"/>
      <c r="T97" s="322">
        <v>0</v>
      </c>
      <c r="U97" s="322">
        <v>0</v>
      </c>
      <c r="V97" s="324" t="str">
        <f>IF(U97=0,"NA",(+T97-U97)/U97)</f>
        <v>NA</v>
      </c>
      <c r="W97" s="326" t="s">
        <v>318</v>
      </c>
      <c r="X97" s="68"/>
    </row>
    <row r="98" spans="1:24" s="4" customFormat="1">
      <c r="A98" s="47">
        <v>91</v>
      </c>
      <c r="B98" s="26" t="s">
        <v>243</v>
      </c>
      <c r="C98" s="26"/>
      <c r="D98" s="26"/>
      <c r="E98" s="100"/>
      <c r="F98" s="100"/>
      <c r="G98" s="100"/>
      <c r="H98" s="100"/>
      <c r="I98" s="100"/>
      <c r="J98" s="100"/>
      <c r="K98" s="100"/>
      <c r="L98" s="100"/>
      <c r="M98" s="100"/>
      <c r="N98" s="26"/>
      <c r="O98" s="26">
        <f>SUM(O93:O97)</f>
        <v>49600</v>
      </c>
      <c r="P98" s="26">
        <f>SUM(P93:P97)</f>
        <v>0</v>
      </c>
      <c r="Q98" s="26">
        <f>SUM(Q93:Q97)</f>
        <v>49600</v>
      </c>
      <c r="R98" s="27" t="str">
        <f t="shared" si="55"/>
        <v>NA</v>
      </c>
      <c r="T98" s="26">
        <f>SUM(T93:T97)</f>
        <v>0</v>
      </c>
      <c r="U98" s="26">
        <f>SUM(U93:U97)</f>
        <v>0</v>
      </c>
      <c r="V98" s="27" t="str">
        <f>IF(U98=0,"NA",(+T98-U98)/U98)</f>
        <v>NA</v>
      </c>
      <c r="W98" s="86"/>
      <c r="X98" s="70"/>
    </row>
    <row r="99" spans="1:24" ht="4.5" customHeight="1">
      <c r="A99" s="47">
        <v>92</v>
      </c>
      <c r="R99" s="7"/>
      <c r="W99" s="84"/>
      <c r="X99" s="68"/>
    </row>
    <row r="100" spans="1:24">
      <c r="A100" s="47">
        <v>88</v>
      </c>
      <c r="B100" s="4" t="s">
        <v>222</v>
      </c>
      <c r="R100" s="42"/>
      <c r="V100" s="42"/>
      <c r="W100" s="84"/>
      <c r="X100" s="68"/>
    </row>
    <row r="101" spans="1:24" ht="14.4" customHeight="1">
      <c r="A101" s="47">
        <v>89</v>
      </c>
      <c r="C101" s="315" t="s">
        <v>45</v>
      </c>
      <c r="D101" s="327"/>
      <c r="E101" s="328"/>
      <c r="F101" s="329"/>
      <c r="G101" s="329"/>
      <c r="H101" s="382">
        <f>ROUND(+$P101*(1+$F$77),0)</f>
        <v>2040</v>
      </c>
      <c r="I101" s="382"/>
      <c r="J101" s="382"/>
      <c r="K101" s="382"/>
      <c r="L101" s="382"/>
      <c r="M101" s="382"/>
      <c r="N101" s="315"/>
      <c r="O101" s="345">
        <f>200*10</f>
        <v>2000</v>
      </c>
      <c r="P101" s="345">
        <f>200*10</f>
        <v>2000</v>
      </c>
      <c r="Q101" s="313">
        <f t="shared" ref="Q101:Q102" si="60">+O101-P101</f>
        <v>0</v>
      </c>
      <c r="R101" s="314">
        <f t="shared" ref="R101:R103" si="61">IF(P101=0,"NA",(+O101-P101)/P101)</f>
        <v>0</v>
      </c>
      <c r="S101" s="315"/>
      <c r="T101" s="312">
        <v>200</v>
      </c>
      <c r="U101" s="312">
        <v>1500.03</v>
      </c>
      <c r="V101" s="314">
        <f>IF(U101=0,"NA",(+T101-U101)/U101)</f>
        <v>-0.86666933328000106</v>
      </c>
      <c r="W101" s="316" t="s">
        <v>191</v>
      </c>
      <c r="X101" s="67" t="s">
        <v>153</v>
      </c>
    </row>
    <row r="102" spans="1:24">
      <c r="A102" s="47">
        <v>90</v>
      </c>
      <c r="C102" s="325" t="s">
        <v>46</v>
      </c>
      <c r="D102" s="334"/>
      <c r="E102" s="335"/>
      <c r="F102" s="336"/>
      <c r="G102" s="336"/>
      <c r="H102" s="336"/>
      <c r="I102" s="336"/>
      <c r="J102" s="336"/>
      <c r="K102" s="336"/>
      <c r="L102" s="336"/>
      <c r="M102" s="336"/>
      <c r="N102" s="325"/>
      <c r="O102" s="322">
        <v>0</v>
      </c>
      <c r="P102" s="322">
        <v>0</v>
      </c>
      <c r="Q102" s="323">
        <f t="shared" si="60"/>
        <v>0</v>
      </c>
      <c r="R102" s="324" t="str">
        <f t="shared" si="61"/>
        <v>NA</v>
      </c>
      <c r="S102" s="325"/>
      <c r="T102" s="322">
        <v>13.08</v>
      </c>
      <c r="U102" s="322">
        <v>0</v>
      </c>
      <c r="V102" s="324" t="str">
        <f>IF(U102=0,"NA",(+T102-U102)/U102)</f>
        <v>NA</v>
      </c>
      <c r="W102" s="338"/>
      <c r="X102" s="68"/>
    </row>
    <row r="103" spans="1:24" s="4" customFormat="1">
      <c r="A103" s="47">
        <v>91</v>
      </c>
      <c r="B103" s="26" t="s">
        <v>223</v>
      </c>
      <c r="C103" s="26"/>
      <c r="D103" s="26"/>
      <c r="E103" s="100"/>
      <c r="F103" s="100"/>
      <c r="G103" s="100"/>
      <c r="H103" s="100"/>
      <c r="I103" s="100"/>
      <c r="J103" s="100"/>
      <c r="K103" s="100"/>
      <c r="L103" s="100"/>
      <c r="M103" s="100"/>
      <c r="N103" s="26"/>
      <c r="O103" s="26">
        <f>SUM(O101:O102)</f>
        <v>2000</v>
      </c>
      <c r="P103" s="26">
        <f>SUM(P101:P102)</f>
        <v>2000</v>
      </c>
      <c r="Q103" s="26">
        <f>SUM(Q101:Q102)</f>
        <v>0</v>
      </c>
      <c r="R103" s="27">
        <f t="shared" si="61"/>
        <v>0</v>
      </c>
      <c r="T103" s="26">
        <f>SUM(T101:T102)</f>
        <v>213.08</v>
      </c>
      <c r="U103" s="26">
        <f>SUM(U101:U102)</f>
        <v>1500.03</v>
      </c>
      <c r="V103" s="27">
        <f>IF(U103=0,"NA",(+T103-U103)/U103)</f>
        <v>-0.85794950767651323</v>
      </c>
      <c r="W103" s="86"/>
      <c r="X103" s="70"/>
    </row>
    <row r="104" spans="1:24" ht="4.5" customHeight="1">
      <c r="R104" s="42"/>
      <c r="V104" s="42"/>
      <c r="W104" s="84"/>
      <c r="X104" s="68"/>
    </row>
    <row r="105" spans="1:24">
      <c r="A105" s="47">
        <v>93</v>
      </c>
      <c r="B105" s="4" t="s">
        <v>194</v>
      </c>
      <c r="R105" s="7"/>
      <c r="W105" s="84"/>
      <c r="X105" s="68"/>
    </row>
    <row r="106" spans="1:24" ht="14.4" customHeight="1">
      <c r="A106" s="47">
        <v>94</v>
      </c>
      <c r="C106" s="315" t="s">
        <v>45</v>
      </c>
      <c r="D106" s="327"/>
      <c r="E106" s="328"/>
      <c r="F106" s="384"/>
      <c r="G106" s="384"/>
      <c r="H106" s="382">
        <f>ROUND(+$P106*(1+$F$77),0)</f>
        <v>20808</v>
      </c>
      <c r="I106" s="382"/>
      <c r="J106" s="382"/>
      <c r="K106" s="382"/>
      <c r="L106" s="382"/>
      <c r="M106" s="382"/>
      <c r="N106" s="315"/>
      <c r="O106" s="355">
        <f>ROUND(+P106*(1+F$77),0)</f>
        <v>20808</v>
      </c>
      <c r="P106" s="312">
        <v>20400</v>
      </c>
      <c r="Q106" s="313">
        <f t="shared" ref="Q106:Q107" si="62">+O106-P106</f>
        <v>408</v>
      </c>
      <c r="R106" s="314">
        <f t="shared" ref="R106:R108" si="63">IF(P106=0,"NA",(+O106-P106)/P106)</f>
        <v>0.02</v>
      </c>
      <c r="S106" s="315"/>
      <c r="T106" s="312">
        <v>15300</v>
      </c>
      <c r="U106" s="312">
        <v>15300</v>
      </c>
      <c r="V106" s="314">
        <f>IF(U106=0,"NA",(+T106-U106)/U106)</f>
        <v>0</v>
      </c>
      <c r="W106" s="316" t="s">
        <v>179</v>
      </c>
      <c r="X106" s="67" t="s">
        <v>129</v>
      </c>
    </row>
    <row r="107" spans="1:24" ht="29">
      <c r="A107" s="47">
        <v>95</v>
      </c>
      <c r="C107" s="325" t="s">
        <v>47</v>
      </c>
      <c r="D107" s="334"/>
      <c r="E107" s="385">
        <v>2</v>
      </c>
      <c r="F107" s="386">
        <f>ROUND(+J107*(1+H107),2)</f>
        <v>10</v>
      </c>
      <c r="G107" s="385">
        <v>40</v>
      </c>
      <c r="H107" s="387">
        <v>0</v>
      </c>
      <c r="I107" s="385">
        <v>4</v>
      </c>
      <c r="J107" s="388">
        <v>10</v>
      </c>
      <c r="K107" s="385">
        <v>40</v>
      </c>
      <c r="L107" s="324">
        <f>IF(M107=0,0,(+J107-M107)/M107)</f>
        <v>0</v>
      </c>
      <c r="M107" s="389">
        <v>0</v>
      </c>
      <c r="N107" s="325"/>
      <c r="O107" s="390">
        <f>ROUND(F107*E107*G107,0)</f>
        <v>800</v>
      </c>
      <c r="P107" s="344">
        <v>800</v>
      </c>
      <c r="Q107" s="323">
        <f t="shared" si="62"/>
        <v>0</v>
      </c>
      <c r="R107" s="324">
        <f t="shared" si="63"/>
        <v>0</v>
      </c>
      <c r="S107" s="325"/>
      <c r="T107" s="349">
        <v>81.42</v>
      </c>
      <c r="U107" s="322">
        <v>600.03</v>
      </c>
      <c r="V107" s="324">
        <f>IF(U107=0,"NA",(+T107-U107)/U107)</f>
        <v>-0.86430678466076705</v>
      </c>
      <c r="W107" s="391" t="str">
        <f>"Matt Nelson:  "&amp;Bud_Yr&amp;":  avg "&amp;E107&amp;" hrs/week at $"&amp;F107&amp;"/hr ("&amp;ROUND(H107*100,1)&amp;"% incr.) for "&amp;G107&amp;" weeks (Sept-May, excluding Lent).  "&amp;Bud_Yr-1&amp;":  avg "&amp;I107&amp;" hrs/week at $"&amp;J107&amp;"/hr ("&amp;ROUND(L107*100,1)&amp;"% incr.) for "&amp;K107&amp;" weeks.   "</f>
        <v xml:space="preserve">Matt Nelson:  2019:  avg 2 hrs/week at $10/hr (0% incr.) for 40 weeks (Sept-May, excluding Lent).  2018:  avg 4 hrs/week at $10/hr (0% incr.) for 40 weeks.   </v>
      </c>
      <c r="X107" s="1" t="s">
        <v>130</v>
      </c>
    </row>
    <row r="108" spans="1:24" s="4" customFormat="1">
      <c r="A108" s="47">
        <v>96</v>
      </c>
      <c r="B108" s="26" t="s">
        <v>48</v>
      </c>
      <c r="C108" s="26"/>
      <c r="D108" s="26"/>
      <c r="E108" s="100"/>
      <c r="F108" s="100"/>
      <c r="G108" s="100"/>
      <c r="H108" s="100"/>
      <c r="I108" s="100"/>
      <c r="J108" s="100"/>
      <c r="K108" s="100"/>
      <c r="L108" s="100"/>
      <c r="M108" s="100"/>
      <c r="N108" s="26"/>
      <c r="O108" s="26">
        <f>SUM(O106:O107)</f>
        <v>21608</v>
      </c>
      <c r="P108" s="26">
        <f>SUM(P106:P107)</f>
        <v>21200</v>
      </c>
      <c r="Q108" s="26">
        <f>SUM(Q106:Q107)</f>
        <v>408</v>
      </c>
      <c r="R108" s="27">
        <f t="shared" si="63"/>
        <v>1.9245283018867923E-2</v>
      </c>
      <c r="T108" s="26">
        <f>SUM(T106:T107)</f>
        <v>15381.42</v>
      </c>
      <c r="U108" s="26">
        <f>SUM(U106:U107)</f>
        <v>15900.03</v>
      </c>
      <c r="V108" s="27">
        <f>IF(U108=0,"NA",(+T108-U108)/U108)</f>
        <v>-3.2616919590717788E-2</v>
      </c>
      <c r="W108" s="86"/>
      <c r="X108" s="70"/>
    </row>
    <row r="109" spans="1:24" ht="6" customHeight="1" thickBot="1">
      <c r="A109" s="47">
        <v>97</v>
      </c>
      <c r="R109" s="7"/>
      <c r="W109" s="84"/>
      <c r="X109" s="68"/>
    </row>
    <row r="110" spans="1:24">
      <c r="A110" s="47">
        <v>98</v>
      </c>
      <c r="B110" s="4" t="s">
        <v>123</v>
      </c>
      <c r="C110" s="315"/>
      <c r="D110" s="327"/>
      <c r="E110" s="392">
        <v>2017</v>
      </c>
      <c r="F110" s="393"/>
      <c r="G110" s="393"/>
      <c r="H110" s="394"/>
      <c r="I110" s="395" t="str">
        <f>"2017 = 1/2 Lead and 1/2 Deacon2018 75% Deacon plus increase 2.0%, "&amp;F77*100&amp;"% Lead"</f>
        <v>2017 = 1/2 Lead and 1/2 Deacon2018 75% Deacon plus increase 2.0%, 2% Lead</v>
      </c>
      <c r="J110" s="396"/>
      <c r="K110" s="396"/>
      <c r="L110" s="396"/>
      <c r="M110" s="396"/>
      <c r="N110" s="396"/>
      <c r="O110" s="315"/>
      <c r="P110" s="315"/>
      <c r="Q110" s="315"/>
      <c r="R110" s="329"/>
      <c r="S110" s="315"/>
      <c r="T110" s="315"/>
      <c r="U110" s="315"/>
      <c r="V110" s="329"/>
      <c r="W110" s="397"/>
      <c r="X110" s="68"/>
    </row>
    <row r="111" spans="1:24" ht="14.5" customHeight="1">
      <c r="A111" s="47">
        <v>99</v>
      </c>
      <c r="C111" s="320" t="s">
        <v>45</v>
      </c>
      <c r="D111" s="331"/>
      <c r="E111" s="398">
        <f>86349</f>
        <v>86349</v>
      </c>
      <c r="F111" s="399" t="s">
        <v>195</v>
      </c>
      <c r="G111" s="343">
        <v>38239</v>
      </c>
      <c r="H111" s="400" t="s">
        <v>123</v>
      </c>
      <c r="I111" s="401"/>
      <c r="J111" s="402"/>
      <c r="K111" s="402"/>
      <c r="L111" s="402"/>
      <c r="M111" s="402"/>
      <c r="N111" s="402"/>
      <c r="O111" s="343">
        <v>0</v>
      </c>
      <c r="P111" s="343">
        <v>40976</v>
      </c>
      <c r="Q111" s="318">
        <f t="shared" ref="Q111:Q117" si="64">+O111-P111</f>
        <v>-40976</v>
      </c>
      <c r="R111" s="319">
        <f t="shared" ref="R111:R118" si="65">IF(P111=0,"NA",(+O111-P111)/P111)</f>
        <v>-1</v>
      </c>
      <c r="S111" s="320"/>
      <c r="T111" s="317">
        <v>22045.23</v>
      </c>
      <c r="U111" s="317">
        <v>30732.03</v>
      </c>
      <c r="V111" s="319">
        <f t="shared" ref="V111:V118" si="66">IF(U111=0,"NA",(+T111-U111)/U111)</f>
        <v>-0.28266274632687782</v>
      </c>
      <c r="W111" s="321" t="s">
        <v>226</v>
      </c>
      <c r="X111" s="67" t="s">
        <v>154</v>
      </c>
    </row>
    <row r="112" spans="1:24" ht="29">
      <c r="A112" s="47">
        <v>100</v>
      </c>
      <c r="C112" s="320" t="s">
        <v>42</v>
      </c>
      <c r="D112" s="331"/>
      <c r="E112" s="332"/>
      <c r="F112" s="403">
        <v>0.11</v>
      </c>
      <c r="G112" s="333">
        <v>2017</v>
      </c>
      <c r="H112" s="403">
        <v>0.12</v>
      </c>
      <c r="I112" s="333">
        <v>2018</v>
      </c>
      <c r="J112" s="333"/>
      <c r="K112" s="333"/>
      <c r="L112" s="333"/>
      <c r="M112" s="333"/>
      <c r="N112" s="320"/>
      <c r="O112" s="343">
        <v>0</v>
      </c>
      <c r="P112" s="343">
        <v>6556</v>
      </c>
      <c r="Q112" s="318">
        <f t="shared" si="64"/>
        <v>-6556</v>
      </c>
      <c r="R112" s="319">
        <f t="shared" si="65"/>
        <v>-1</v>
      </c>
      <c r="S112" s="320"/>
      <c r="T112" s="317">
        <v>2831.06</v>
      </c>
      <c r="U112" s="317">
        <v>4916.97</v>
      </c>
      <c r="V112" s="319">
        <f t="shared" si="66"/>
        <v>-0.42422670872508889</v>
      </c>
      <c r="W112" s="375" t="s">
        <v>217</v>
      </c>
      <c r="X112" s="75"/>
    </row>
    <row r="113" spans="1:24">
      <c r="A113" s="47">
        <v>101</v>
      </c>
      <c r="C113" s="320" t="s">
        <v>44</v>
      </c>
      <c r="D113" s="331"/>
      <c r="E113" s="332"/>
      <c r="F113" s="333"/>
      <c r="G113" s="333"/>
      <c r="H113" s="333"/>
      <c r="I113" s="333"/>
      <c r="J113" s="333"/>
      <c r="K113" s="333"/>
      <c r="L113" s="333"/>
      <c r="M113" s="333"/>
      <c r="N113" s="320"/>
      <c r="O113" s="317">
        <v>0</v>
      </c>
      <c r="P113" s="317">
        <v>750</v>
      </c>
      <c r="Q113" s="318">
        <f t="shared" si="64"/>
        <v>-750</v>
      </c>
      <c r="R113" s="319">
        <f t="shared" si="65"/>
        <v>-1</v>
      </c>
      <c r="S113" s="320"/>
      <c r="T113" s="317">
        <v>182.8</v>
      </c>
      <c r="U113" s="317">
        <v>562.5</v>
      </c>
      <c r="V113" s="319">
        <f t="shared" si="66"/>
        <v>-0.67502222222222219</v>
      </c>
      <c r="W113" s="321"/>
      <c r="X113" s="67"/>
    </row>
    <row r="114" spans="1:24" ht="14.4" customHeight="1">
      <c r="A114" s="47">
        <v>102</v>
      </c>
      <c r="C114" s="320" t="s">
        <v>43</v>
      </c>
      <c r="D114" s="331"/>
      <c r="E114" s="332"/>
      <c r="F114" s="333"/>
      <c r="G114" s="333"/>
      <c r="H114" s="333"/>
      <c r="I114" s="333"/>
      <c r="J114" s="333"/>
      <c r="K114" s="333"/>
      <c r="L114" s="333"/>
      <c r="M114" s="333"/>
      <c r="N114" s="320"/>
      <c r="O114" s="343">
        <v>0</v>
      </c>
      <c r="P114" s="343">
        <v>3300</v>
      </c>
      <c r="Q114" s="318">
        <f t="shared" si="64"/>
        <v>-3300</v>
      </c>
      <c r="R114" s="319">
        <f t="shared" si="65"/>
        <v>-1</v>
      </c>
      <c r="S114" s="320"/>
      <c r="T114" s="317">
        <v>2176.13</v>
      </c>
      <c r="U114" s="317">
        <v>2475</v>
      </c>
      <c r="V114" s="319">
        <f t="shared" si="66"/>
        <v>-0.1207555555555555</v>
      </c>
      <c r="W114" s="321" t="s">
        <v>199</v>
      </c>
      <c r="X114" s="71" t="s">
        <v>145</v>
      </c>
    </row>
    <row r="115" spans="1:24">
      <c r="A115" s="47">
        <v>103</v>
      </c>
      <c r="C115" s="320" t="s">
        <v>46</v>
      </c>
      <c r="D115" s="331"/>
      <c r="E115" s="332"/>
      <c r="F115" s="333"/>
      <c r="G115" s="333"/>
      <c r="H115" s="333"/>
      <c r="I115" s="333"/>
      <c r="J115" s="333"/>
      <c r="K115" s="333"/>
      <c r="L115" s="333"/>
      <c r="M115" s="333"/>
      <c r="N115" s="320"/>
      <c r="O115" s="317">
        <v>0</v>
      </c>
      <c r="P115" s="317">
        <v>1500</v>
      </c>
      <c r="Q115" s="318">
        <f t="shared" si="64"/>
        <v>-1500</v>
      </c>
      <c r="R115" s="319">
        <f t="shared" si="65"/>
        <v>-1</v>
      </c>
      <c r="S115" s="320"/>
      <c r="T115" s="317">
        <v>293.25</v>
      </c>
      <c r="U115" s="317">
        <v>1125</v>
      </c>
      <c r="V115" s="319">
        <f t="shared" si="66"/>
        <v>-0.73933333333333329</v>
      </c>
      <c r="W115" s="321" t="s">
        <v>198</v>
      </c>
      <c r="X115" s="67"/>
    </row>
    <row r="116" spans="1:24">
      <c r="C116" s="320" t="s">
        <v>114</v>
      </c>
      <c r="D116" s="331"/>
      <c r="E116" s="332"/>
      <c r="F116" s="333"/>
      <c r="G116" s="333"/>
      <c r="H116" s="333"/>
      <c r="I116" s="333"/>
      <c r="J116" s="333"/>
      <c r="K116" s="333"/>
      <c r="L116" s="333"/>
      <c r="M116" s="333"/>
      <c r="N116" s="320"/>
      <c r="O116" s="317">
        <v>0</v>
      </c>
      <c r="P116" s="317">
        <v>350</v>
      </c>
      <c r="Q116" s="318">
        <f t="shared" ref="Q116" si="67">+O116-P116</f>
        <v>-350</v>
      </c>
      <c r="R116" s="319">
        <f t="shared" ref="R116" si="68">IF(P116=0,"NA",(+O116-P116)/P116)</f>
        <v>-1</v>
      </c>
      <c r="S116" s="320"/>
      <c r="T116" s="317">
        <v>75.7</v>
      </c>
      <c r="U116" s="317">
        <v>262.52999999999997</v>
      </c>
      <c r="V116" s="319">
        <f t="shared" ref="V116" si="69">IF(U116=0,"NA",(+T116-U116)/U116)</f>
        <v>-0.71165200167599896</v>
      </c>
      <c r="W116" s="321" t="s">
        <v>198</v>
      </c>
      <c r="X116" s="67"/>
    </row>
    <row r="117" spans="1:24">
      <c r="A117" s="47">
        <v>104</v>
      </c>
      <c r="C117" s="325" t="s">
        <v>49</v>
      </c>
      <c r="D117" s="334"/>
      <c r="E117" s="335"/>
      <c r="F117" s="336"/>
      <c r="G117" s="336"/>
      <c r="H117" s="336"/>
      <c r="I117" s="336"/>
      <c r="J117" s="336"/>
      <c r="K117" s="336"/>
      <c r="L117" s="336"/>
      <c r="M117" s="336"/>
      <c r="N117" s="325"/>
      <c r="O117" s="322">
        <v>0</v>
      </c>
      <c r="P117" s="322">
        <v>0</v>
      </c>
      <c r="Q117" s="323">
        <f t="shared" si="64"/>
        <v>0</v>
      </c>
      <c r="R117" s="324" t="str">
        <f t="shared" si="65"/>
        <v>NA</v>
      </c>
      <c r="S117" s="325"/>
      <c r="T117" s="322">
        <v>0</v>
      </c>
      <c r="U117" s="322">
        <v>0</v>
      </c>
      <c r="V117" s="324" t="str">
        <f t="shared" si="66"/>
        <v>NA</v>
      </c>
      <c r="W117" s="404"/>
      <c r="X117" s="79" t="s">
        <v>146</v>
      </c>
    </row>
    <row r="118" spans="1:24" s="4" customFormat="1">
      <c r="A118" s="47">
        <v>105</v>
      </c>
      <c r="B118" s="26" t="s">
        <v>171</v>
      </c>
      <c r="C118" s="26"/>
      <c r="D118" s="26"/>
      <c r="E118" s="100"/>
      <c r="F118" s="100"/>
      <c r="G118" s="100"/>
      <c r="H118" s="100"/>
      <c r="I118" s="100"/>
      <c r="J118" s="100"/>
      <c r="K118" s="100"/>
      <c r="L118" s="100"/>
      <c r="M118" s="100"/>
      <c r="N118" s="26"/>
      <c r="O118" s="26">
        <f>SUM(O111:O117)</f>
        <v>0</v>
      </c>
      <c r="P118" s="26">
        <f>SUM(P111:P117)</f>
        <v>53432</v>
      </c>
      <c r="Q118" s="26">
        <f>SUM(Q111:Q117)</f>
        <v>-53432</v>
      </c>
      <c r="R118" s="27">
        <f t="shared" si="65"/>
        <v>-1</v>
      </c>
      <c r="T118" s="26">
        <f>SUM(T111:T117)</f>
        <v>27604.170000000002</v>
      </c>
      <c r="U118" s="26">
        <f>SUM(U111:U117)</f>
        <v>40074.03</v>
      </c>
      <c r="V118" s="27">
        <f t="shared" si="66"/>
        <v>-0.31117060101018035</v>
      </c>
      <c r="W118" s="86"/>
      <c r="X118" s="70"/>
    </row>
    <row r="119" spans="1:24" ht="6" customHeight="1">
      <c r="A119" s="47">
        <v>106</v>
      </c>
      <c r="R119" s="7"/>
      <c r="W119" s="84"/>
      <c r="X119" s="68"/>
    </row>
    <row r="120" spans="1:24">
      <c r="A120" s="47">
        <v>107</v>
      </c>
      <c r="B120" s="4" t="s">
        <v>50</v>
      </c>
      <c r="R120" s="7"/>
      <c r="W120" s="84"/>
      <c r="X120" s="68"/>
    </row>
    <row r="121" spans="1:24">
      <c r="A121" s="47">
        <v>108</v>
      </c>
      <c r="C121" s="315" t="s">
        <v>116</v>
      </c>
      <c r="D121" s="327"/>
      <c r="E121" s="328"/>
      <c r="F121" s="329"/>
      <c r="G121" s="329"/>
      <c r="H121" s="329"/>
      <c r="I121" s="329"/>
      <c r="J121" s="329"/>
      <c r="K121" s="329"/>
      <c r="L121" s="329"/>
      <c r="M121" s="329"/>
      <c r="N121" s="405"/>
      <c r="O121" s="355">
        <f>ROUND(+P121*(1+$F$78),0)</f>
        <v>15918</v>
      </c>
      <c r="P121" s="312">
        <v>15606</v>
      </c>
      <c r="Q121" s="313">
        <f t="shared" ref="Q121:Q128" si="70">+O121-P121</f>
        <v>312</v>
      </c>
      <c r="R121" s="314">
        <f t="shared" ref="R121:R129" si="71">IF(P121=0,"NA",(+O121-P121)/P121)</f>
        <v>1.9992310649750097E-2</v>
      </c>
      <c r="S121" s="315"/>
      <c r="T121" s="312">
        <v>11704.5</v>
      </c>
      <c r="U121" s="312">
        <v>11704.5</v>
      </c>
      <c r="V121" s="314">
        <f t="shared" ref="V121:V129" si="72">IF(U121=0,"NA",(+T121-U121)/U121)</f>
        <v>0</v>
      </c>
      <c r="W121" s="316" t="s">
        <v>180</v>
      </c>
      <c r="X121" s="67" t="s">
        <v>164</v>
      </c>
    </row>
    <row r="122" spans="1:24">
      <c r="A122" s="47">
        <v>109</v>
      </c>
      <c r="C122" s="320" t="s">
        <v>51</v>
      </c>
      <c r="D122" s="331"/>
      <c r="E122" s="332"/>
      <c r="F122" s="333"/>
      <c r="G122" s="333"/>
      <c r="H122" s="333"/>
      <c r="I122" s="333"/>
      <c r="J122" s="333"/>
      <c r="K122" s="333"/>
      <c r="L122" s="333"/>
      <c r="M122" s="333"/>
      <c r="N122" s="406"/>
      <c r="O122" s="317">
        <v>500</v>
      </c>
      <c r="P122" s="317">
        <v>500</v>
      </c>
      <c r="Q122" s="318">
        <f t="shared" si="70"/>
        <v>0</v>
      </c>
      <c r="R122" s="319">
        <f t="shared" si="71"/>
        <v>0</v>
      </c>
      <c r="S122" s="320"/>
      <c r="T122" s="317">
        <v>100</v>
      </c>
      <c r="U122" s="317">
        <v>375.03</v>
      </c>
      <c r="V122" s="319">
        <f t="shared" si="72"/>
        <v>-0.73335466496013646</v>
      </c>
      <c r="W122" s="407"/>
      <c r="X122" s="67" t="s">
        <v>167</v>
      </c>
    </row>
    <row r="123" spans="1:24" ht="14.4" customHeight="1">
      <c r="A123" s="47">
        <v>110</v>
      </c>
      <c r="C123" s="320" t="s">
        <v>52</v>
      </c>
      <c r="D123" s="331"/>
      <c r="E123" s="332"/>
      <c r="F123" s="333"/>
      <c r="G123" s="333"/>
      <c r="H123" s="333"/>
      <c r="I123" s="333"/>
      <c r="J123" s="333"/>
      <c r="K123" s="333"/>
      <c r="L123" s="333"/>
      <c r="M123" s="333"/>
      <c r="N123" s="406"/>
      <c r="O123" s="363">
        <f>ROUND(+P123*(1+F$78),0)</f>
        <v>15624</v>
      </c>
      <c r="P123" s="317">
        <v>15318</v>
      </c>
      <c r="Q123" s="318">
        <f t="shared" si="70"/>
        <v>306</v>
      </c>
      <c r="R123" s="319">
        <f t="shared" si="71"/>
        <v>1.9976498237367801E-2</v>
      </c>
      <c r="S123" s="320"/>
      <c r="T123" s="317">
        <v>11871.52</v>
      </c>
      <c r="U123" s="317">
        <v>11488.86</v>
      </c>
      <c r="V123" s="319">
        <f t="shared" si="72"/>
        <v>3.330704700031159E-2</v>
      </c>
      <c r="W123" s="321" t="str">
        <f>"2019:  Paid by $72 per person attending.  2018:  Increase for Music of "&amp;F78*100&amp;"% at 75% of year for not playing in the summer"</f>
        <v>2019:  Paid by $72 per person attending.  2018:  Increase for Music of 2% at 75% of year for not playing in the summer</v>
      </c>
      <c r="X123" s="67" t="s">
        <v>166</v>
      </c>
    </row>
    <row r="124" spans="1:24" ht="29">
      <c r="A124" s="47">
        <v>110</v>
      </c>
      <c r="C124" s="320" t="s">
        <v>178</v>
      </c>
      <c r="D124" s="331"/>
      <c r="E124" s="332"/>
      <c r="F124" s="333"/>
      <c r="G124" s="333"/>
      <c r="H124" s="333"/>
      <c r="I124" s="333"/>
      <c r="J124" s="333"/>
      <c r="K124" s="333"/>
      <c r="L124" s="333"/>
      <c r="M124" s="333"/>
      <c r="N124" s="406"/>
      <c r="O124" s="363">
        <f>ROUND(+P124*(1+F$78),0)</f>
        <v>5208</v>
      </c>
      <c r="P124" s="317">
        <v>5106</v>
      </c>
      <c r="Q124" s="318">
        <f t="shared" ref="Q124" si="73">+O124-P124</f>
        <v>102</v>
      </c>
      <c r="R124" s="319">
        <f t="shared" ref="R124" si="74">IF(P124=0,"NA",(+O124-P124)/P124)</f>
        <v>1.9976498237367801E-2</v>
      </c>
      <c r="S124" s="320"/>
      <c r="T124" s="317">
        <v>2350</v>
      </c>
      <c r="U124" s="317">
        <v>3829.5</v>
      </c>
      <c r="V124" s="319">
        <f t="shared" ref="V124" si="75">IF(U124=0,"NA",(+T124-U124)/U124)</f>
        <v>-0.38634286460373418</v>
      </c>
      <c r="W124" s="321" t="s">
        <v>311</v>
      </c>
      <c r="X124" s="67" t="s">
        <v>166</v>
      </c>
    </row>
    <row r="125" spans="1:24">
      <c r="A125" s="47">
        <v>111</v>
      </c>
      <c r="C125" s="320" t="s">
        <v>53</v>
      </c>
      <c r="D125" s="331"/>
      <c r="E125" s="332"/>
      <c r="F125" s="333"/>
      <c r="G125" s="333"/>
      <c r="H125" s="333"/>
      <c r="I125" s="333"/>
      <c r="J125" s="333"/>
      <c r="K125" s="333"/>
      <c r="L125" s="333"/>
      <c r="M125" s="333"/>
      <c r="N125" s="406"/>
      <c r="O125" s="363">
        <f>ROUND(+P125*(1+$F$78),0)</f>
        <v>7484</v>
      </c>
      <c r="P125" s="317">
        <v>7337</v>
      </c>
      <c r="Q125" s="318">
        <f t="shared" si="70"/>
        <v>147</v>
      </c>
      <c r="R125" s="319">
        <f t="shared" si="71"/>
        <v>2.0035436827041026E-2</v>
      </c>
      <c r="S125" s="320"/>
      <c r="T125" s="317">
        <v>4800.25</v>
      </c>
      <c r="U125" s="317">
        <v>5135.8999999999996</v>
      </c>
      <c r="V125" s="319">
        <f t="shared" si="72"/>
        <v>-6.5353686792967089E-2</v>
      </c>
      <c r="W125" s="321" t="s">
        <v>181</v>
      </c>
      <c r="X125" s="67" t="s">
        <v>165</v>
      </c>
    </row>
    <row r="126" spans="1:24">
      <c r="A126" s="47">
        <v>112</v>
      </c>
      <c r="C126" s="320" t="s">
        <v>54</v>
      </c>
      <c r="D126" s="331"/>
      <c r="E126" s="332"/>
      <c r="F126" s="333"/>
      <c r="G126" s="333"/>
      <c r="H126" s="383">
        <f>ROUND(+$P126*(1+$F$78),0)</f>
        <v>1785</v>
      </c>
      <c r="I126" s="383"/>
      <c r="J126" s="383"/>
      <c r="K126" s="383"/>
      <c r="L126" s="383"/>
      <c r="M126" s="383"/>
      <c r="N126" s="320"/>
      <c r="O126" s="363">
        <f>ROUND(+P126*(1+$F$78),0)</f>
        <v>1785</v>
      </c>
      <c r="P126" s="317">
        <v>1750</v>
      </c>
      <c r="Q126" s="318">
        <f t="shared" si="70"/>
        <v>35</v>
      </c>
      <c r="R126" s="319">
        <f t="shared" si="71"/>
        <v>0.02</v>
      </c>
      <c r="S126" s="320"/>
      <c r="T126" s="317">
        <v>1166.6400000000001</v>
      </c>
      <c r="U126" s="317">
        <v>1312.47</v>
      </c>
      <c r="V126" s="319">
        <f t="shared" si="72"/>
        <v>-0.11111111111111105</v>
      </c>
      <c r="W126" s="321" t="s">
        <v>182</v>
      </c>
      <c r="X126" s="67" t="s">
        <v>167</v>
      </c>
    </row>
    <row r="127" spans="1:24">
      <c r="C127" s="320" t="s">
        <v>113</v>
      </c>
      <c r="D127" s="331"/>
      <c r="E127" s="408" t="s">
        <v>188</v>
      </c>
      <c r="F127" s="409"/>
      <c r="G127" s="409"/>
      <c r="H127" s="409"/>
      <c r="I127" s="409"/>
      <c r="J127" s="409"/>
      <c r="K127" s="409"/>
      <c r="L127" s="409"/>
      <c r="M127" s="409"/>
      <c r="N127" s="409"/>
      <c r="O127" s="343">
        <v>900</v>
      </c>
      <c r="P127" s="317">
        <v>1200</v>
      </c>
      <c r="Q127" s="318">
        <f t="shared" si="70"/>
        <v>-300</v>
      </c>
      <c r="R127" s="319">
        <f t="shared" ref="R127" si="76">IF(P127=0,"NA",(+O127-P127)/P127)</f>
        <v>-0.25</v>
      </c>
      <c r="S127" s="320"/>
      <c r="T127" s="343">
        <v>600</v>
      </c>
      <c r="U127" s="317">
        <v>900</v>
      </c>
      <c r="V127" s="319">
        <f t="shared" ref="V127" si="77">IF(U127=0,"NA",(+T127-U127)/U127)</f>
        <v>-0.33333333333333331</v>
      </c>
      <c r="W127" s="321" t="s">
        <v>183</v>
      </c>
      <c r="X127" s="80" t="s">
        <v>163</v>
      </c>
    </row>
    <row r="128" spans="1:24">
      <c r="A128" s="47">
        <v>113</v>
      </c>
      <c r="C128" s="325" t="s">
        <v>117</v>
      </c>
      <c r="D128" s="334"/>
      <c r="E128" s="410">
        <f>Bud_Yr</f>
        <v>2019</v>
      </c>
      <c r="F128" s="411"/>
      <c r="G128" s="411"/>
      <c r="H128" s="411"/>
      <c r="I128" s="411">
        <f>Bud_Yr-1</f>
        <v>2018</v>
      </c>
      <c r="J128" s="411"/>
      <c r="K128" s="411"/>
      <c r="L128" s="411"/>
      <c r="M128" s="412">
        <f>Bud_Yr-2</f>
        <v>2017</v>
      </c>
      <c r="N128" s="412">
        <v>2016</v>
      </c>
      <c r="O128" s="380">
        <f>ROUND(+P128*(1+$F$78),0)</f>
        <v>2759</v>
      </c>
      <c r="P128" s="322">
        <v>2705</v>
      </c>
      <c r="Q128" s="323">
        <f t="shared" si="70"/>
        <v>54</v>
      </c>
      <c r="R128" s="324">
        <f t="shared" si="71"/>
        <v>1.9963031423290204E-2</v>
      </c>
      <c r="S128" s="325"/>
      <c r="T128" s="322">
        <v>2325</v>
      </c>
      <c r="U128" s="322">
        <v>2028.78</v>
      </c>
      <c r="V128" s="324">
        <f t="shared" si="72"/>
        <v>0.14600893147605951</v>
      </c>
      <c r="W128" s="326" t="s">
        <v>216</v>
      </c>
      <c r="X128" s="67" t="s">
        <v>167</v>
      </c>
    </row>
    <row r="129" spans="1:26" s="4" customFormat="1" ht="15" thickBot="1">
      <c r="A129" s="47">
        <v>114</v>
      </c>
      <c r="B129" s="26" t="s">
        <v>55</v>
      </c>
      <c r="C129" s="26"/>
      <c r="D129" s="26"/>
      <c r="E129" s="108" t="s">
        <v>186</v>
      </c>
      <c r="F129" s="109" t="s">
        <v>187</v>
      </c>
      <c r="G129" s="109" t="s">
        <v>190</v>
      </c>
      <c r="H129" s="109" t="s">
        <v>185</v>
      </c>
      <c r="I129" s="109" t="s">
        <v>186</v>
      </c>
      <c r="J129" s="109" t="s">
        <v>187</v>
      </c>
      <c r="K129" s="109" t="s">
        <v>190</v>
      </c>
      <c r="L129" s="109" t="s">
        <v>185</v>
      </c>
      <c r="M129" s="110" t="s">
        <v>187</v>
      </c>
      <c r="N129" s="110" t="s">
        <v>187</v>
      </c>
      <c r="O129" s="26">
        <f>SUM(O121:O128)</f>
        <v>50178</v>
      </c>
      <c r="P129" s="26">
        <f>SUM(P121:P128)</f>
        <v>49522</v>
      </c>
      <c r="Q129" s="26">
        <f>SUM(Q121:Q128)</f>
        <v>656</v>
      </c>
      <c r="R129" s="27">
        <f t="shared" si="71"/>
        <v>1.3246637857921732E-2</v>
      </c>
      <c r="T129" s="26">
        <f>SUM(T121:T128)</f>
        <v>34917.910000000003</v>
      </c>
      <c r="U129" s="26">
        <f>SUM(U121:U128)</f>
        <v>36775.040000000001</v>
      </c>
      <c r="V129" s="27">
        <f t="shared" si="72"/>
        <v>-5.0499741128765527E-2</v>
      </c>
      <c r="W129" s="86"/>
      <c r="X129" s="70"/>
    </row>
    <row r="130" spans="1:26" ht="6.75" customHeight="1">
      <c r="A130" s="47">
        <v>115</v>
      </c>
      <c r="R130" s="7"/>
      <c r="W130" s="84"/>
      <c r="X130" s="68"/>
    </row>
    <row r="131" spans="1:26" ht="14.25" customHeight="1">
      <c r="A131" s="47">
        <v>116</v>
      </c>
      <c r="B131" s="4" t="s">
        <v>56</v>
      </c>
      <c r="N131" s="28"/>
      <c r="O131" s="28"/>
      <c r="P131" s="28"/>
      <c r="Q131" s="28"/>
      <c r="R131" s="7"/>
      <c r="W131" s="84"/>
      <c r="X131" s="68"/>
      <c r="Y131" s="42"/>
    </row>
    <row r="132" spans="1:26" ht="27.5" customHeight="1">
      <c r="A132" s="47">
        <v>117</v>
      </c>
      <c r="C132" s="315" t="s">
        <v>101</v>
      </c>
      <c r="D132" s="327"/>
      <c r="E132" s="413"/>
      <c r="F132" s="414"/>
      <c r="G132" s="413"/>
      <c r="H132" s="415">
        <f>+$F$77</f>
        <v>0.02</v>
      </c>
      <c r="I132" s="413">
        <v>17</v>
      </c>
      <c r="J132" s="416">
        <v>15.08</v>
      </c>
      <c r="K132" s="413">
        <v>52</v>
      </c>
      <c r="L132" s="314">
        <f>IF(M132=0,0,(+J132-M132)/M132)</f>
        <v>2.0297699594046058E-2</v>
      </c>
      <c r="M132" s="417">
        <v>14.78</v>
      </c>
      <c r="N132" s="417">
        <v>14.42</v>
      </c>
      <c r="O132" s="355">
        <f>ROUND(E132*F132*G132,0)</f>
        <v>0</v>
      </c>
      <c r="P132" s="355">
        <f>ROUND(I132*J132*K132,0)</f>
        <v>13331</v>
      </c>
      <c r="Q132" s="313">
        <f t="shared" ref="Q132:Q146" si="78">+O132-P132</f>
        <v>-13331</v>
      </c>
      <c r="R132" s="314">
        <f t="shared" ref="R132:R148" si="79">IF(P132=0,"NA",(+O132-P132)/P132)</f>
        <v>-1</v>
      </c>
      <c r="S132" s="315"/>
      <c r="T132" s="312">
        <v>5958.55</v>
      </c>
      <c r="U132" s="312">
        <v>9998.2800000000007</v>
      </c>
      <c r="V132" s="314">
        <v>46.81</v>
      </c>
      <c r="W132" s="316" t="str">
        <f>"Kim Saunders:  "&amp;Bud_Yr&amp;":  avg "&amp;E132&amp;" hrs/week at $"&amp;F132&amp;"/hr ("&amp;ROUND(H132*100,1)&amp;"% incr.) for "&amp;G132&amp;" weeks.                                         "&amp;Bud_Yr-1&amp;":  avg "&amp;I132&amp;" hrs/week at $"&amp;J132&amp;"/hr ("&amp;ROUND(L132*100,1)&amp;"% incr.) for "&amp;K132&amp;" weeks.   "&amp;Bud_Yr-2&amp;":  $"&amp;M132&amp;"/hr."</f>
        <v>Kim Saunders:  2019:  avg  hrs/week at $/hr (2% incr.) for  weeks.                                         2018:  avg 17 hrs/week at $15.08/hr (2% incr.) for 52 weeks.   2017:  $14.78/hr.</v>
      </c>
      <c r="X132" s="78" t="s">
        <v>155</v>
      </c>
      <c r="Y132" s="54"/>
    </row>
    <row r="133" spans="1:26" ht="27.65" customHeight="1">
      <c r="C133" s="320" t="s">
        <v>230</v>
      </c>
      <c r="D133" s="331"/>
      <c r="E133" s="418"/>
      <c r="F133" s="419">
        <f>ROUND(+K133*(1+H133),2)</f>
        <v>4855.2</v>
      </c>
      <c r="G133" s="418">
        <v>52</v>
      </c>
      <c r="H133" s="420">
        <f>+$F$77</f>
        <v>0.02</v>
      </c>
      <c r="I133" s="418" t="s">
        <v>260</v>
      </c>
      <c r="J133" s="333"/>
      <c r="K133" s="419">
        <f>17*280</f>
        <v>4760</v>
      </c>
      <c r="L133" s="319">
        <f>IF(M133=0,0,(+K133-M133)/M133)</f>
        <v>0</v>
      </c>
      <c r="M133" s="421"/>
      <c r="N133" s="406"/>
      <c r="O133" s="341">
        <v>35360</v>
      </c>
      <c r="P133" s="343">
        <v>0</v>
      </c>
      <c r="Q133" s="318">
        <f t="shared" ref="Q133:Q134" si="80">+O133-P133</f>
        <v>35360</v>
      </c>
      <c r="R133" s="319" t="str">
        <f t="shared" ref="R133:R134" si="81">IF(P133=0,"NA",(+O133-P133)/P133)</f>
        <v>NA</v>
      </c>
      <c r="S133" s="320"/>
      <c r="T133" s="317">
        <v>5404.31</v>
      </c>
      <c r="U133" s="317">
        <v>0</v>
      </c>
      <c r="V133" s="319">
        <v>46.81</v>
      </c>
      <c r="W133" s="342" t="s">
        <v>241</v>
      </c>
      <c r="X133" s="78"/>
      <c r="Y133" s="54"/>
    </row>
    <row r="134" spans="1:26">
      <c r="A134" s="47">
        <v>122</v>
      </c>
      <c r="C134" s="320" t="s">
        <v>232</v>
      </c>
      <c r="D134" s="331"/>
      <c r="E134" s="418"/>
      <c r="F134" s="422"/>
      <c r="G134" s="418"/>
      <c r="H134" s="423"/>
      <c r="I134" s="418"/>
      <c r="J134" s="419"/>
      <c r="K134" s="418"/>
      <c r="L134" s="319"/>
      <c r="M134" s="421"/>
      <c r="N134" s="318"/>
      <c r="O134" s="341">
        <v>1000</v>
      </c>
      <c r="P134" s="343">
        <v>0</v>
      </c>
      <c r="Q134" s="318">
        <f t="shared" si="80"/>
        <v>1000</v>
      </c>
      <c r="R134" s="319" t="str">
        <f t="shared" si="81"/>
        <v>NA</v>
      </c>
      <c r="S134" s="320"/>
      <c r="T134" s="317">
        <v>1192.25</v>
      </c>
      <c r="U134" s="317">
        <v>0</v>
      </c>
      <c r="V134" s="319" t="str">
        <f t="shared" ref="V134" si="82">IF(U134=0,"NA",(+T134-U134)/U134)</f>
        <v>NA</v>
      </c>
      <c r="W134" s="321" t="s">
        <v>252</v>
      </c>
      <c r="X134" s="71" t="s">
        <v>131</v>
      </c>
      <c r="Y134" s="54"/>
    </row>
    <row r="135" spans="1:26" ht="29.4" customHeight="1">
      <c r="A135" s="47">
        <v>118</v>
      </c>
      <c r="C135" s="320" t="s">
        <v>58</v>
      </c>
      <c r="D135" s="331"/>
      <c r="E135" s="424">
        <v>25</v>
      </c>
      <c r="F135" s="422">
        <f>ROUND(+J135*(1+H135),2)</f>
        <v>13.37</v>
      </c>
      <c r="G135" s="418">
        <v>52</v>
      </c>
      <c r="H135" s="420">
        <f>+$F$77</f>
        <v>0.02</v>
      </c>
      <c r="I135" s="418">
        <v>25</v>
      </c>
      <c r="J135" s="419">
        <v>13.11</v>
      </c>
      <c r="K135" s="418">
        <v>52</v>
      </c>
      <c r="L135" s="319">
        <f>IF(M135=0,0,(+J135-M135)/M135)</f>
        <v>2.0233463035019439E-2</v>
      </c>
      <c r="M135" s="421">
        <v>12.85</v>
      </c>
      <c r="N135" s="406"/>
      <c r="O135" s="363">
        <f>ROUND((E135*F135*G135)+(E136*F136*G136)+(E137*F137*G137),0)</f>
        <v>33244</v>
      </c>
      <c r="P135" s="363">
        <f>ROUND((I135*J135*K135)+(I136*J136*K136)+(I137*J137*K137),0)</f>
        <v>33288</v>
      </c>
      <c r="Q135" s="318">
        <f t="shared" si="78"/>
        <v>-44</v>
      </c>
      <c r="R135" s="319">
        <f t="shared" si="79"/>
        <v>-1.3217976447969237E-3</v>
      </c>
      <c r="S135" s="320"/>
      <c r="T135" s="343">
        <v>23391.37</v>
      </c>
      <c r="U135" s="317">
        <v>24966</v>
      </c>
      <c r="V135" s="319">
        <f t="shared" ref="V135:V148" si="83">IF(U135=0,"NA",(+T135-U135)/U135)</f>
        <v>-6.3070976528078221E-2</v>
      </c>
      <c r="W135" s="321" t="str">
        <f>"Mark Henkel:  "&amp;Bud_Yr&amp;":  avg "&amp;E135&amp;" hrs/week at $"&amp;F135&amp;"/hr ("&amp;ROUND(H135*100,1)&amp;"% incr.) for "&amp;G135&amp;" weeks.                                       "&amp;Bud_Yr-1&amp;":  avg "&amp;I135&amp;" hrs/week at $"&amp;J135&amp;"/hr ("&amp;ROUND(L135*100,1)&amp;"% incr.) for "&amp;K135&amp;" weeks.   "</f>
        <v xml:space="preserve">Mark Henkel:  2019:  avg 25 hrs/week at $13.37/hr (2% incr.) for 52 weeks.                                       2018:  avg 25 hrs/week at $13.11/hr (2% incr.) for 52 weeks.   </v>
      </c>
      <c r="X135" s="67" t="s">
        <v>133</v>
      </c>
      <c r="Z135" s="89"/>
    </row>
    <row r="136" spans="1:26" ht="29">
      <c r="C136" s="320"/>
      <c r="D136" s="331"/>
      <c r="E136" s="424">
        <v>7.5</v>
      </c>
      <c r="F136" s="422">
        <f>ROUND(+J136*(1+H136),2)</f>
        <v>11.34</v>
      </c>
      <c r="G136" s="418">
        <v>52</v>
      </c>
      <c r="H136" s="420">
        <f>+$F$77</f>
        <v>0.02</v>
      </c>
      <c r="I136" s="418">
        <v>20</v>
      </c>
      <c r="J136" s="419">
        <v>11.12</v>
      </c>
      <c r="K136" s="418">
        <v>52</v>
      </c>
      <c r="L136" s="319">
        <f>IF(M136=0,0,(+J136-M136)/M136)</f>
        <v>2.0183486238532004E-2</v>
      </c>
      <c r="M136" s="419">
        <v>10.9</v>
      </c>
      <c r="N136" s="421">
        <v>10.7</v>
      </c>
      <c r="O136" s="363"/>
      <c r="P136" s="363"/>
      <c r="Q136" s="318"/>
      <c r="R136" s="319"/>
      <c r="S136" s="320"/>
      <c r="T136" s="343"/>
      <c r="U136" s="317"/>
      <c r="V136" s="319"/>
      <c r="W136" s="321" t="str">
        <f>"Rebecca Arreola:  "&amp;Bud_Yr&amp;":  avg "&amp;E136&amp;" hrs/week at $"&amp;F136&amp;"/hr ("&amp;ROUND(H136*100,1)&amp;"% incr.) for "&amp;G136&amp;" weeks.                                    "&amp;Bud_Yr-1&amp;":  avg "&amp;I136&amp;" hrs/week at $"&amp;J136&amp;"/hr ("&amp;ROUND(L136*100,1)&amp;"% incr.) for "&amp;K136&amp;" weeks.   "&amp;Bud_Yr-2&amp;":  $"&amp;M136&amp;"/hour."</f>
        <v>Rebecca Arreola:  2019:  avg 7.5 hrs/week at $11.34/hr (2% incr.) for 52 weeks.                                    2018:  avg 20 hrs/week at $11.12/hr (2% incr.) for 52 weeks.   2017:  $10.9/hour.</v>
      </c>
      <c r="X136" s="67"/>
      <c r="Y136" s="28"/>
      <c r="Z136" s="89"/>
    </row>
    <row r="137" spans="1:26" ht="29">
      <c r="C137" s="320"/>
      <c r="D137" s="331"/>
      <c r="E137" s="424">
        <v>20</v>
      </c>
      <c r="F137" s="419">
        <v>11</v>
      </c>
      <c r="G137" s="418">
        <v>52</v>
      </c>
      <c r="H137" s="420">
        <f>+$F$77</f>
        <v>0.02</v>
      </c>
      <c r="I137" s="424">
        <v>8</v>
      </c>
      <c r="J137" s="419">
        <v>11.25</v>
      </c>
      <c r="K137" s="418">
        <v>52</v>
      </c>
      <c r="L137" s="319">
        <f>IF(M137=0,0,(+J137-M137)/M137)</f>
        <v>0</v>
      </c>
      <c r="M137" s="419">
        <v>11.25</v>
      </c>
      <c r="N137" s="421">
        <v>7.77</v>
      </c>
      <c r="O137" s="363"/>
      <c r="P137" s="363"/>
      <c r="Q137" s="318"/>
      <c r="R137" s="319"/>
      <c r="S137" s="320"/>
      <c r="T137" s="343"/>
      <c r="U137" s="317"/>
      <c r="V137" s="319"/>
      <c r="W137" s="321" t="str">
        <f>"New for "&amp;Bud_Yr&amp;":  avg "&amp;E137&amp;" hrs/week at $"&amp;F137&amp;"/hr ("&amp;ROUND(H137*100,1)&amp;"% incr.) for "&amp;G137&amp;" weeks.   Was Del Alton for                                                  "&amp;Bud_Yr-1&amp;":  avg "&amp;I137&amp;" hrs/week at $"&amp;J137&amp;"/hr ("&amp;ROUND(L137*100,1)&amp;"% incr.) for "&amp;K137&amp;" weeks.   "&amp;Bud_Yr-2&amp;":  $"&amp;M137&amp;"/hour."</f>
        <v>New for 2019:  avg 20 hrs/week at $11/hr (2% incr.) for 52 weeks.   Was Del Alton for                                                  2018:  avg 8 hrs/week at $11.25/hr (0% incr.) for 52 weeks.   2017:  $11.25/hour.</v>
      </c>
      <c r="X137" s="67"/>
      <c r="Y137" s="28"/>
      <c r="Z137" s="89"/>
    </row>
    <row r="138" spans="1:26">
      <c r="A138" s="47">
        <v>119</v>
      </c>
      <c r="C138" s="320" t="s">
        <v>59</v>
      </c>
      <c r="D138" s="331"/>
      <c r="E138" s="332"/>
      <c r="F138" s="333"/>
      <c r="G138" s="333"/>
      <c r="H138" s="333"/>
      <c r="I138" s="333"/>
      <c r="J138" s="333"/>
      <c r="K138" s="333"/>
      <c r="L138" s="333"/>
      <c r="M138" s="333"/>
      <c r="N138" s="320"/>
      <c r="O138" s="343">
        <v>400</v>
      </c>
      <c r="P138" s="317">
        <v>400</v>
      </c>
      <c r="Q138" s="318">
        <f t="shared" si="78"/>
        <v>0</v>
      </c>
      <c r="R138" s="319">
        <f t="shared" si="79"/>
        <v>0</v>
      </c>
      <c r="S138" s="320"/>
      <c r="T138" s="317">
        <v>344.76</v>
      </c>
      <c r="U138" s="317">
        <v>299.97000000000003</v>
      </c>
      <c r="V138" s="319">
        <f t="shared" si="83"/>
        <v>0.14931493149314917</v>
      </c>
      <c r="W138" s="321"/>
      <c r="X138" s="71"/>
      <c r="Z138" s="89"/>
    </row>
    <row r="139" spans="1:26">
      <c r="A139" s="47">
        <v>120</v>
      </c>
      <c r="C139" s="320" t="s">
        <v>104</v>
      </c>
      <c r="D139" s="331"/>
      <c r="E139" s="332"/>
      <c r="F139" s="333"/>
      <c r="G139" s="333"/>
      <c r="H139" s="333"/>
      <c r="I139" s="333"/>
      <c r="J139" s="333"/>
      <c r="K139" s="333"/>
      <c r="L139" s="333"/>
      <c r="M139" s="333"/>
      <c r="N139" s="320"/>
      <c r="O139" s="343">
        <f>700</f>
        <v>700</v>
      </c>
      <c r="P139" s="317">
        <v>700</v>
      </c>
      <c r="Q139" s="318">
        <f t="shared" si="78"/>
        <v>0</v>
      </c>
      <c r="R139" s="319">
        <f t="shared" si="79"/>
        <v>0</v>
      </c>
      <c r="S139" s="320"/>
      <c r="T139" s="317">
        <v>0</v>
      </c>
      <c r="U139" s="317">
        <v>524.97</v>
      </c>
      <c r="V139" s="319">
        <f t="shared" si="83"/>
        <v>-1</v>
      </c>
      <c r="W139" s="321"/>
      <c r="X139" s="71"/>
      <c r="Z139" s="89"/>
    </row>
    <row r="140" spans="1:26" ht="14" customHeight="1">
      <c r="C140" s="320" t="s">
        <v>124</v>
      </c>
      <c r="D140" s="331"/>
      <c r="E140" s="332"/>
      <c r="F140" s="333"/>
      <c r="G140" s="333"/>
      <c r="H140" s="425"/>
      <c r="I140" s="425"/>
      <c r="J140" s="425"/>
      <c r="K140" s="425"/>
      <c r="L140" s="425"/>
      <c r="M140" s="425"/>
      <c r="N140" s="426"/>
      <c r="O140" s="343">
        <v>1000</v>
      </c>
      <c r="P140" s="317">
        <v>1000</v>
      </c>
      <c r="Q140" s="318">
        <f t="shared" si="78"/>
        <v>0</v>
      </c>
      <c r="R140" s="319">
        <f t="shared" ref="R140" si="84">IF(P140=0,"NA",(+O140-P140)/P140)</f>
        <v>0</v>
      </c>
      <c r="S140" s="320"/>
      <c r="T140" s="317">
        <v>529</v>
      </c>
      <c r="U140" s="317">
        <v>666.66</v>
      </c>
      <c r="V140" s="319">
        <f t="shared" ref="V140" si="85">IF(U140=0,"NA",(+T140-U140)/U140)</f>
        <v>-0.20649206492064917</v>
      </c>
      <c r="W140" s="321" t="s">
        <v>184</v>
      </c>
      <c r="X140" s="67" t="s">
        <v>147</v>
      </c>
      <c r="Z140" s="89"/>
    </row>
    <row r="141" spans="1:26" ht="29">
      <c r="C141" s="320" t="s">
        <v>192</v>
      </c>
      <c r="D141" s="331"/>
      <c r="E141" s="418"/>
      <c r="F141" s="422">
        <f>ROUND(+J141*(1+H141),2)</f>
        <v>14.64</v>
      </c>
      <c r="G141" s="418"/>
      <c r="H141" s="420">
        <f>+$F$77</f>
        <v>0.02</v>
      </c>
      <c r="I141" s="418">
        <v>27</v>
      </c>
      <c r="J141" s="419">
        <v>14.35</v>
      </c>
      <c r="K141" s="418">
        <v>52</v>
      </c>
      <c r="L141" s="319">
        <f>IF(M141=0,0,(+J141-M141)/M141)</f>
        <v>2.4999999999999974E-2</v>
      </c>
      <c r="M141" s="419">
        <v>14</v>
      </c>
      <c r="N141" s="421">
        <v>12.12</v>
      </c>
      <c r="O141" s="363">
        <f>ROUND(E141*F141*G141,0)</f>
        <v>0</v>
      </c>
      <c r="P141" s="363">
        <f>ROUND(+I141*J141*K141,0)</f>
        <v>20147</v>
      </c>
      <c r="Q141" s="318">
        <f t="shared" ref="Q141" si="86">+O141-P141</f>
        <v>-20147</v>
      </c>
      <c r="R141" s="319">
        <f t="shared" ref="R141" si="87">IF(P141=0,"NA",(+O141-P141)/P141)</f>
        <v>-1</v>
      </c>
      <c r="S141" s="320"/>
      <c r="T141" s="317">
        <v>15722.91</v>
      </c>
      <c r="U141" s="317">
        <v>15110.28</v>
      </c>
      <c r="V141" s="319">
        <f t="shared" ref="V141" si="88">IF(U141=0,"NA",(+T141-U141)/U141)</f>
        <v>4.0543921092130598E-2</v>
      </c>
      <c r="W141" s="321" t="str">
        <f>"Debbie Toff:  "&amp;Bud_Yr&amp;":  avg "&amp;E141&amp;" hrs/week at $"&amp;F141&amp;"/hr ("&amp;ROUND(H141*100,1)&amp;"% incr.) for "&amp;G141&amp;" weeks.                              "&amp;Bud_Yr-1&amp;":  avg "&amp;I141&amp;" hrs/week at $"&amp;J141&amp;"/hr ("&amp;ROUND(L141*100,1)&amp;"% incr.) for "&amp;K141&amp;" weeks.   "&amp;Bud_Yr-2&amp;":  $"&amp;M141&amp;"/hour."</f>
        <v>Debbie Toff:  2019:  avg  hrs/week at $14.64/hr (2% incr.) for  weeks.                              2018:  avg 27 hrs/week at $14.35/hr (2.5% incr.) for 52 weeks.   2017:  $14/hour.</v>
      </c>
      <c r="X141" s="71"/>
      <c r="Y141" s="54"/>
    </row>
    <row r="142" spans="1:26" ht="29">
      <c r="C142" s="364" t="s">
        <v>231</v>
      </c>
      <c r="D142" s="364"/>
      <c r="E142" s="418">
        <v>15</v>
      </c>
      <c r="F142" s="422">
        <f>ROUND(+J142*(1+H142),2)</f>
        <v>14.28</v>
      </c>
      <c r="G142" s="418">
        <v>52</v>
      </c>
      <c r="H142" s="420">
        <f>+$F$77</f>
        <v>0.02</v>
      </c>
      <c r="I142" s="418">
        <v>15</v>
      </c>
      <c r="J142" s="419">
        <v>14</v>
      </c>
      <c r="K142" s="418">
        <v>52</v>
      </c>
      <c r="L142" s="319">
        <f>IF(M142=0,0,(+J142-M142)/M142)</f>
        <v>0</v>
      </c>
      <c r="M142" s="419">
        <v>14</v>
      </c>
      <c r="N142" s="320"/>
      <c r="O142" s="427">
        <f>ROUND(+E142*F142*G142,0)</f>
        <v>11138</v>
      </c>
      <c r="P142" s="363">
        <f>ROUND(+I142*J142*K142,0)</f>
        <v>10920</v>
      </c>
      <c r="Q142" s="318">
        <f t="shared" ref="Q142" si="89">+O142-P142</f>
        <v>218</v>
      </c>
      <c r="R142" s="319">
        <f t="shared" ref="R142" si="90">IF(P142=0,"NA",(+O142-P142)/P142)</f>
        <v>1.9963369963369962E-2</v>
      </c>
      <c r="S142" s="320"/>
      <c r="T142" s="317">
        <v>8788.73</v>
      </c>
      <c r="U142" s="317">
        <v>8190</v>
      </c>
      <c r="V142" s="319">
        <f>IF(U142=0,"NA",(+T142-U142)/U142)</f>
        <v>7.3105006105006046E-2</v>
      </c>
      <c r="W142" s="321" t="str">
        <f>"Heather Keszler:  "&amp;Bud_Yr&amp;":  avg "&amp;E142&amp;" hrs/week at $"&amp;F142&amp;"/hr ("&amp;ROUND(H142*100,1)&amp;"% incr.) for "&amp;G142&amp;" weeks.                       "&amp;Bud_Yr-1&amp;":  avg "&amp;I142&amp;" hrs/week at $"&amp;J142&amp;"/hr ("&amp;ROUND(L142*100,1)&amp;"% incr.) for "&amp;K142&amp;" weeks.   "</f>
        <v xml:space="preserve">Heather Keszler:  2019:  avg 15 hrs/week at $14.28/hr (2% incr.) for 52 weeks.                       2018:  avg 15 hrs/week at $14/hr (0% incr.) for 52 weeks.   </v>
      </c>
      <c r="X142" s="68"/>
    </row>
    <row r="143" spans="1:26">
      <c r="C143" s="364" t="s">
        <v>62</v>
      </c>
      <c r="D143" s="364"/>
      <c r="E143" s="418"/>
      <c r="F143" s="428" t="s">
        <v>281</v>
      </c>
      <c r="G143" s="428"/>
      <c r="H143" s="428"/>
      <c r="I143" s="418"/>
      <c r="J143" s="419"/>
      <c r="K143" s="418"/>
      <c r="L143" s="319"/>
      <c r="M143" s="421"/>
      <c r="N143" s="320"/>
      <c r="O143" s="343">
        <v>0</v>
      </c>
      <c r="P143" s="317">
        <v>0</v>
      </c>
      <c r="Q143" s="318">
        <f t="shared" ref="Q143" si="91">+O143-P143</f>
        <v>0</v>
      </c>
      <c r="R143" s="319" t="str">
        <f t="shared" ref="R143" si="92">IF(P143=0,"NA",(+O143-P143)/P143)</f>
        <v>NA</v>
      </c>
      <c r="S143" s="320"/>
      <c r="T143" s="343">
        <v>849.05</v>
      </c>
      <c r="U143" s="343">
        <v>0</v>
      </c>
      <c r="V143" s="319" t="str">
        <f>IF(U143=0,"NA",(+T143-U143)/U143)</f>
        <v>NA</v>
      </c>
      <c r="W143" s="321"/>
      <c r="X143" s="68"/>
    </row>
    <row r="144" spans="1:26" ht="14.5" customHeight="1">
      <c r="A144" s="47">
        <v>123</v>
      </c>
      <c r="C144" s="320" t="s">
        <v>60</v>
      </c>
      <c r="D144" s="331"/>
      <c r="E144" s="429">
        <f>+O90+O98+O103+O108+O118+O129+O132+O133+O134+O135+O138+O139+O140+O142+O146</f>
        <v>306701.38049999997</v>
      </c>
      <c r="F144" s="428"/>
      <c r="G144" s="428"/>
      <c r="H144" s="428"/>
      <c r="I144" s="429">
        <f>+P90+P98+P103+P108+P118+P129+P132+P133+P134+P135+P138+P139+P140+P142+P146</f>
        <v>274740.84341041668</v>
      </c>
      <c r="J144" s="430"/>
      <c r="K144" s="431"/>
      <c r="L144" s="431"/>
      <c r="M144" s="432">
        <v>7.6499999999999999E-2</v>
      </c>
      <c r="N144" s="320"/>
      <c r="O144" s="363">
        <f>ROUND((+O93+O106+O107+O111+O129+O132+O133+131+O135+O140+O141+O143)*M144,0)</f>
        <v>14269</v>
      </c>
      <c r="P144" s="363">
        <f>ROUND((+P79+P93+P106+P107+P111+P132+P135+P141+P142+P140+P126+P121+P125+P127)*M144,0)</f>
        <v>17798</v>
      </c>
      <c r="Q144" s="318">
        <f t="shared" si="78"/>
        <v>-3529</v>
      </c>
      <c r="R144" s="319">
        <f t="shared" si="79"/>
        <v>-0.19828070569726935</v>
      </c>
      <c r="S144" s="320"/>
      <c r="T144" s="343">
        <v>8836.7900000000009</v>
      </c>
      <c r="U144" s="343">
        <v>13348.53</v>
      </c>
      <c r="V144" s="319">
        <f t="shared" si="83"/>
        <v>-0.33799526989114154</v>
      </c>
      <c r="W144" s="407" t="s">
        <v>282</v>
      </c>
      <c r="X144" s="71" t="s">
        <v>148</v>
      </c>
    </row>
    <row r="145" spans="1:24" ht="14.4" customHeight="1">
      <c r="A145" s="47">
        <v>124</v>
      </c>
      <c r="C145" s="325" t="s">
        <v>61</v>
      </c>
      <c r="D145" s="334"/>
      <c r="E145" s="335"/>
      <c r="F145" s="433"/>
      <c r="G145" s="433"/>
      <c r="H145" s="433"/>
      <c r="I145" s="336"/>
      <c r="J145" s="336"/>
      <c r="K145" s="336"/>
      <c r="L145" s="336"/>
      <c r="M145" s="336"/>
      <c r="N145" s="325"/>
      <c r="O145" s="344">
        <v>3384</v>
      </c>
      <c r="P145" s="322">
        <v>3115</v>
      </c>
      <c r="Q145" s="323">
        <f t="shared" si="78"/>
        <v>269</v>
      </c>
      <c r="R145" s="324">
        <f t="shared" si="79"/>
        <v>8.6356340288924555E-2</v>
      </c>
      <c r="S145" s="325"/>
      <c r="T145" s="344">
        <v>2538.09</v>
      </c>
      <c r="U145" s="344">
        <v>2336.25</v>
      </c>
      <c r="V145" s="324">
        <f t="shared" si="83"/>
        <v>8.6394863563402952E-2</v>
      </c>
      <c r="W145" s="326" t="s">
        <v>320</v>
      </c>
      <c r="X145" s="71" t="s">
        <v>149</v>
      </c>
    </row>
    <row r="146" spans="1:24" hidden="1">
      <c r="A146" s="47">
        <v>125</v>
      </c>
      <c r="C146" s="1" t="s">
        <v>62</v>
      </c>
      <c r="O146" s="63">
        <v>0</v>
      </c>
      <c r="P146" s="61">
        <v>0</v>
      </c>
      <c r="Q146" s="40">
        <f t="shared" si="78"/>
        <v>0</v>
      </c>
      <c r="R146" s="6" t="str">
        <f t="shared" si="79"/>
        <v>NA</v>
      </c>
      <c r="T146" s="63">
        <v>0</v>
      </c>
      <c r="U146" s="63">
        <v>0</v>
      </c>
      <c r="V146" s="6" t="str">
        <f t="shared" si="83"/>
        <v>NA</v>
      </c>
      <c r="W146" s="71"/>
      <c r="X146" s="67"/>
    </row>
    <row r="147" spans="1:24" s="4" customFormat="1">
      <c r="A147" s="47">
        <v>127</v>
      </c>
      <c r="B147" s="26" t="s">
        <v>57</v>
      </c>
      <c r="C147" s="26"/>
      <c r="D147" s="26"/>
      <c r="E147" s="100"/>
      <c r="F147" s="100"/>
      <c r="G147" s="100"/>
      <c r="H147" s="100"/>
      <c r="I147" s="100"/>
      <c r="J147" s="100"/>
      <c r="K147" s="100"/>
      <c r="L147" s="100"/>
      <c r="M147" s="100"/>
      <c r="N147" s="26"/>
      <c r="O147" s="26">
        <f>SUM(O132:O146)</f>
        <v>100495</v>
      </c>
      <c r="P147" s="26">
        <f>SUM(P132:P146)</f>
        <v>100699</v>
      </c>
      <c r="Q147" s="26">
        <f>SUM(Q132:Q146)</f>
        <v>-204</v>
      </c>
      <c r="R147" s="27">
        <f t="shared" si="79"/>
        <v>-2.0258393827148236E-3</v>
      </c>
      <c r="T147" s="26">
        <f>SUM(T132:T146)</f>
        <v>73555.81</v>
      </c>
      <c r="U147" s="26">
        <f>SUM(U132:U146)</f>
        <v>75440.94</v>
      </c>
      <c r="V147" s="27">
        <f t="shared" si="83"/>
        <v>-2.4988156298158593E-2</v>
      </c>
      <c r="W147" s="86"/>
      <c r="X147" s="70"/>
    </row>
    <row r="148" spans="1:24">
      <c r="A148" s="47">
        <v>128</v>
      </c>
      <c r="B148" s="26" t="s">
        <v>63</v>
      </c>
      <c r="C148" s="26"/>
      <c r="D148" s="26" t="str">
        <f>0*100%&amp;"% Cost of Living"</f>
        <v>0% Cost of Living</v>
      </c>
      <c r="E148" s="100"/>
      <c r="F148" s="27"/>
      <c r="G148" s="27"/>
      <c r="H148" s="27"/>
      <c r="I148" s="27"/>
      <c r="J148" s="27"/>
      <c r="K148" s="27"/>
      <c r="L148" s="27"/>
      <c r="M148" s="27"/>
      <c r="N148" s="36"/>
      <c r="O148" s="26">
        <f>+O90+O98+O103+O108+O118+O129+O147</f>
        <v>324354.38049999997</v>
      </c>
      <c r="P148" s="26">
        <f>+P90+P98+P103+P108+P118+P129+P147</f>
        <v>315800.84341041668</v>
      </c>
      <c r="Q148" s="26">
        <f>+Q90+Q98+Q103+Q108+Q118+Q129+Q147</f>
        <v>8553.5370895833257</v>
      </c>
      <c r="R148" s="27">
        <f t="shared" si="79"/>
        <v>2.7085225603615825E-2</v>
      </c>
      <c r="T148" s="26">
        <f>+T90+T98+T103+T108+T118+T129+T147</f>
        <v>217112.26</v>
      </c>
      <c r="U148" s="26">
        <f>+U90+U98+U103+U108+U118+U129+U147</f>
        <v>235467.96</v>
      </c>
      <c r="V148" s="27">
        <f t="shared" si="83"/>
        <v>-7.7954130150021186E-2</v>
      </c>
      <c r="W148" s="84"/>
      <c r="X148" s="68"/>
    </row>
    <row r="149" spans="1:24" ht="8.25" customHeight="1">
      <c r="A149" s="47">
        <v>129</v>
      </c>
      <c r="R149" s="7"/>
      <c r="W149" s="84"/>
      <c r="X149" s="68"/>
    </row>
    <row r="150" spans="1:24" ht="18.5">
      <c r="A150" s="47">
        <v>130</v>
      </c>
      <c r="B150" s="9" t="s">
        <v>64</v>
      </c>
      <c r="R150" s="7"/>
      <c r="W150" s="84"/>
      <c r="X150" s="68"/>
    </row>
    <row r="151" spans="1:24">
      <c r="A151" s="47">
        <v>131</v>
      </c>
      <c r="B151" s="4" t="s">
        <v>65</v>
      </c>
      <c r="R151" s="7"/>
      <c r="W151" s="84"/>
      <c r="X151" s="68"/>
    </row>
    <row r="152" spans="1:24" ht="14.4" customHeight="1">
      <c r="A152" s="47">
        <v>132</v>
      </c>
      <c r="C152" s="1" t="s">
        <v>67</v>
      </c>
      <c r="O152" s="345">
        <f>+P152*1.25</f>
        <v>10500</v>
      </c>
      <c r="P152" s="345">
        <v>8400</v>
      </c>
      <c r="Q152" s="313">
        <f t="shared" ref="Q152:Q158" si="93">+O152-P152</f>
        <v>2100</v>
      </c>
      <c r="R152" s="314">
        <f t="shared" ref="R152:R159" si="94">IF(P152=0,"NA",(+O152-P152)/P152)</f>
        <v>0.25</v>
      </c>
      <c r="S152" s="315"/>
      <c r="T152" s="312">
        <v>7919.19</v>
      </c>
      <c r="U152" s="312">
        <v>6300</v>
      </c>
      <c r="V152" s="314">
        <f t="shared" ref="V152:V159" si="95">IF(U152=0,"NA",(+T152-U152)/U152)</f>
        <v>0.25701428571428564</v>
      </c>
      <c r="W152" s="316"/>
      <c r="X152" s="67" t="s">
        <v>150</v>
      </c>
    </row>
    <row r="153" spans="1:24" ht="14.4" customHeight="1">
      <c r="A153" s="47">
        <v>133</v>
      </c>
      <c r="C153" s="1" t="s">
        <v>68</v>
      </c>
      <c r="O153" s="343">
        <f>+P153*(1+0.02)</f>
        <v>8160</v>
      </c>
      <c r="P153" s="343">
        <v>8000</v>
      </c>
      <c r="Q153" s="318">
        <f t="shared" si="93"/>
        <v>160</v>
      </c>
      <c r="R153" s="319">
        <f t="shared" si="94"/>
        <v>0.02</v>
      </c>
      <c r="S153" s="320"/>
      <c r="T153" s="317">
        <v>6112.28</v>
      </c>
      <c r="U153" s="317">
        <v>6000.03</v>
      </c>
      <c r="V153" s="319">
        <f t="shared" si="95"/>
        <v>1.8708239792134373E-2</v>
      </c>
      <c r="W153" s="375"/>
      <c r="X153" s="75" t="s">
        <v>156</v>
      </c>
    </row>
    <row r="154" spans="1:24" ht="28" customHeight="1">
      <c r="A154" s="47">
        <v>134</v>
      </c>
      <c r="C154" s="1" t="s">
        <v>69</v>
      </c>
      <c r="N154" s="5"/>
      <c r="O154" s="317">
        <v>4500</v>
      </c>
      <c r="P154" s="317">
        <v>5000</v>
      </c>
      <c r="Q154" s="318">
        <f t="shared" si="93"/>
        <v>-500</v>
      </c>
      <c r="R154" s="319">
        <f t="shared" si="94"/>
        <v>-0.1</v>
      </c>
      <c r="S154" s="320"/>
      <c r="T154" s="317">
        <v>4039.17</v>
      </c>
      <c r="U154" s="317">
        <v>3750.03</v>
      </c>
      <c r="V154" s="319">
        <f t="shared" si="95"/>
        <v>7.7103383172934581E-2</v>
      </c>
      <c r="W154" s="321" t="s">
        <v>253</v>
      </c>
      <c r="X154" s="74"/>
    </row>
    <row r="155" spans="1:24" ht="14.4" customHeight="1">
      <c r="A155" s="47">
        <v>135</v>
      </c>
      <c r="C155" s="1" t="s">
        <v>70</v>
      </c>
      <c r="O155" s="317">
        <f>+P155*(1+0.02)</f>
        <v>816</v>
      </c>
      <c r="P155" s="317">
        <v>800</v>
      </c>
      <c r="Q155" s="318">
        <f t="shared" si="93"/>
        <v>16</v>
      </c>
      <c r="R155" s="319">
        <f t="shared" si="94"/>
        <v>0.02</v>
      </c>
      <c r="S155" s="320"/>
      <c r="T155" s="317">
        <v>612.57000000000005</v>
      </c>
      <c r="U155" s="317">
        <v>600</v>
      </c>
      <c r="V155" s="319">
        <f t="shared" si="95"/>
        <v>2.0950000000000083E-2</v>
      </c>
      <c r="W155" s="321"/>
      <c r="X155" s="67"/>
    </row>
    <row r="156" spans="1:24" ht="14.4" customHeight="1">
      <c r="A156" s="47">
        <v>136</v>
      </c>
      <c r="C156" s="1" t="s">
        <v>71</v>
      </c>
      <c r="O156" s="343">
        <v>300</v>
      </c>
      <c r="P156" s="343">
        <v>300</v>
      </c>
      <c r="Q156" s="318">
        <f t="shared" si="93"/>
        <v>0</v>
      </c>
      <c r="R156" s="319">
        <f t="shared" si="94"/>
        <v>0</v>
      </c>
      <c r="S156" s="320"/>
      <c r="T156" s="317">
        <v>680.37</v>
      </c>
      <c r="U156" s="317">
        <v>300</v>
      </c>
      <c r="V156" s="319">
        <f t="shared" si="95"/>
        <v>1.2679</v>
      </c>
      <c r="W156" s="321" t="s">
        <v>254</v>
      </c>
      <c r="X156" s="75" t="s">
        <v>157</v>
      </c>
    </row>
    <row r="157" spans="1:24" ht="14.4" customHeight="1">
      <c r="A157" s="47">
        <v>137</v>
      </c>
      <c r="C157" s="1" t="s">
        <v>72</v>
      </c>
      <c r="H157" s="101"/>
      <c r="I157" s="101"/>
      <c r="J157" s="101"/>
      <c r="K157" s="101"/>
      <c r="L157" s="101"/>
      <c r="M157" s="101"/>
      <c r="O157" s="341">
        <v>1800</v>
      </c>
      <c r="P157" s="343">
        <v>2000</v>
      </c>
      <c r="Q157" s="318">
        <f t="shared" si="93"/>
        <v>-200</v>
      </c>
      <c r="R157" s="319">
        <f t="shared" si="94"/>
        <v>-0.1</v>
      </c>
      <c r="S157" s="320"/>
      <c r="T157" s="317">
        <v>1359.36</v>
      </c>
      <c r="U157" s="317">
        <v>1500.03</v>
      </c>
      <c r="V157" s="319">
        <f t="shared" si="95"/>
        <v>-9.3778124437511295E-2</v>
      </c>
      <c r="W157" s="342" t="s">
        <v>323</v>
      </c>
      <c r="X157" s="71" t="s">
        <v>158</v>
      </c>
    </row>
    <row r="158" spans="1:24" ht="14.4" customHeight="1">
      <c r="A158" s="47">
        <v>138</v>
      </c>
      <c r="C158" s="1" t="s">
        <v>111</v>
      </c>
      <c r="O158" s="322">
        <v>4500</v>
      </c>
      <c r="P158" s="322">
        <v>4500</v>
      </c>
      <c r="Q158" s="323">
        <f t="shared" si="93"/>
        <v>0</v>
      </c>
      <c r="R158" s="324">
        <f t="shared" si="94"/>
        <v>0</v>
      </c>
      <c r="S158" s="325"/>
      <c r="T158" s="322">
        <v>4242.25</v>
      </c>
      <c r="U158" s="322">
        <v>4500</v>
      </c>
      <c r="V158" s="324">
        <f t="shared" si="95"/>
        <v>-5.7277777777777775E-2</v>
      </c>
      <c r="W158" s="326"/>
      <c r="X158" s="67"/>
    </row>
    <row r="159" spans="1:24" s="4" customFormat="1">
      <c r="A159" s="47">
        <v>139</v>
      </c>
      <c r="B159" s="29" t="s">
        <v>73</v>
      </c>
      <c r="C159" s="29"/>
      <c r="D159" s="29"/>
      <c r="E159" s="102"/>
      <c r="F159" s="102"/>
      <c r="G159" s="102"/>
      <c r="H159" s="102"/>
      <c r="I159" s="102"/>
      <c r="J159" s="102"/>
      <c r="K159" s="102"/>
      <c r="L159" s="102"/>
      <c r="M159" s="102"/>
      <c r="N159" s="29"/>
      <c r="O159" s="29">
        <f>SUM(O152:O158)</f>
        <v>30576</v>
      </c>
      <c r="P159" s="29">
        <f>SUM(P152:P158)</f>
        <v>29000</v>
      </c>
      <c r="Q159" s="29">
        <f>SUM(Q152:Q158)</f>
        <v>1576</v>
      </c>
      <c r="R159" s="30">
        <f t="shared" si="94"/>
        <v>5.4344827586206894E-2</v>
      </c>
      <c r="T159" s="29">
        <f>SUM(T152:T158)</f>
        <v>24965.19</v>
      </c>
      <c r="U159" s="29">
        <f>SUM(U152:U158)</f>
        <v>22950.089999999997</v>
      </c>
      <c r="V159" s="30">
        <f t="shared" si="95"/>
        <v>8.7803577240873676E-2</v>
      </c>
      <c r="W159" s="86"/>
      <c r="X159" s="70"/>
    </row>
    <row r="160" spans="1:24" s="4" customFormat="1" ht="6.75" customHeight="1">
      <c r="A160" s="47">
        <v>140</v>
      </c>
      <c r="B160" s="17"/>
      <c r="C160" s="17"/>
      <c r="D160" s="17"/>
      <c r="E160" s="92"/>
      <c r="F160" s="92"/>
      <c r="G160" s="92"/>
      <c r="H160" s="92"/>
      <c r="I160" s="92"/>
      <c r="J160" s="92"/>
      <c r="K160" s="92"/>
      <c r="L160" s="92"/>
      <c r="M160" s="92"/>
      <c r="N160" s="17"/>
      <c r="O160" s="17"/>
      <c r="P160" s="17"/>
      <c r="Q160" s="17"/>
      <c r="R160" s="20"/>
      <c r="T160" s="17"/>
      <c r="U160" s="17"/>
      <c r="V160" s="20"/>
      <c r="W160" s="86"/>
      <c r="X160" s="70"/>
    </row>
    <row r="161" spans="1:24">
      <c r="A161" s="47">
        <v>141</v>
      </c>
      <c r="B161" s="4" t="s">
        <v>74</v>
      </c>
      <c r="R161" s="7"/>
      <c r="W161" s="84"/>
      <c r="X161" s="68"/>
    </row>
    <row r="162" spans="1:24" ht="43.5">
      <c r="A162" s="47">
        <v>142</v>
      </c>
      <c r="C162" s="315" t="s">
        <v>75</v>
      </c>
      <c r="D162" s="327"/>
      <c r="E162" s="328"/>
      <c r="F162" s="329"/>
      <c r="G162" s="329"/>
      <c r="H162" s="329"/>
      <c r="I162" s="329"/>
      <c r="J162" s="329"/>
      <c r="K162" s="329"/>
      <c r="L162" s="329"/>
      <c r="M162" s="329"/>
      <c r="N162" s="315"/>
      <c r="O162" s="345">
        <f>+P162*(1+0.14)+4</f>
        <v>16899.940000000002</v>
      </c>
      <c r="P162" s="345">
        <v>14821</v>
      </c>
      <c r="Q162" s="313">
        <f t="shared" ref="Q162:Q167" si="96">+O162-P162</f>
        <v>2078.9400000000023</v>
      </c>
      <c r="R162" s="314">
        <f t="shared" ref="R162:R169" si="97">IF(P162=0,"NA",(+O162-P162)/P162)</f>
        <v>0.14026988732204321</v>
      </c>
      <c r="S162" s="315"/>
      <c r="T162" s="312">
        <v>11701</v>
      </c>
      <c r="U162" s="312">
        <v>11115.75</v>
      </c>
      <c r="V162" s="314">
        <f t="shared" ref="V162:V169" si="98">IF(U162=0,"NA",(+T162-U162)/U162)</f>
        <v>5.2650518408564426E-2</v>
      </c>
      <c r="W162" s="434" t="s">
        <v>255</v>
      </c>
      <c r="X162" s="67" t="s">
        <v>159</v>
      </c>
    </row>
    <row r="163" spans="1:24">
      <c r="A163" s="47">
        <v>143</v>
      </c>
      <c r="C163" s="320" t="s">
        <v>76</v>
      </c>
      <c r="D163" s="331"/>
      <c r="E163" s="332"/>
      <c r="F163" s="333"/>
      <c r="G163" s="333"/>
      <c r="H163" s="333"/>
      <c r="I163" s="333"/>
      <c r="J163" s="333"/>
      <c r="K163" s="333"/>
      <c r="L163" s="333"/>
      <c r="M163" s="333"/>
      <c r="N163" s="320"/>
      <c r="O163" s="317">
        <v>4500</v>
      </c>
      <c r="P163" s="317">
        <v>4000</v>
      </c>
      <c r="Q163" s="318">
        <f t="shared" si="96"/>
        <v>500</v>
      </c>
      <c r="R163" s="319">
        <f t="shared" si="97"/>
        <v>0.125</v>
      </c>
      <c r="S163" s="320"/>
      <c r="T163" s="317">
        <v>4466.5</v>
      </c>
      <c r="U163" s="317">
        <v>3000</v>
      </c>
      <c r="V163" s="319">
        <f t="shared" si="98"/>
        <v>0.48883333333333334</v>
      </c>
      <c r="W163" s="321"/>
      <c r="X163" s="67"/>
    </row>
    <row r="164" spans="1:24">
      <c r="A164" s="47">
        <v>144</v>
      </c>
      <c r="C164" s="320" t="s">
        <v>102</v>
      </c>
      <c r="D164" s="331"/>
      <c r="E164" s="332"/>
      <c r="F164" s="333"/>
      <c r="G164" s="333"/>
      <c r="H164" s="333"/>
      <c r="I164" s="333"/>
      <c r="J164" s="333"/>
      <c r="K164" s="333"/>
      <c r="L164" s="333"/>
      <c r="M164" s="333"/>
      <c r="N164" s="320"/>
      <c r="O164" s="317">
        <v>4000</v>
      </c>
      <c r="P164" s="317">
        <v>4000</v>
      </c>
      <c r="Q164" s="318">
        <f t="shared" si="96"/>
        <v>0</v>
      </c>
      <c r="R164" s="319">
        <f t="shared" si="97"/>
        <v>0</v>
      </c>
      <c r="S164" s="320"/>
      <c r="T164" s="317">
        <v>2920.35</v>
      </c>
      <c r="U164" s="317">
        <v>2999.97</v>
      </c>
      <c r="V164" s="319">
        <f t="shared" si="98"/>
        <v>-2.654026540265399E-2</v>
      </c>
      <c r="W164" s="321"/>
      <c r="X164" s="67"/>
    </row>
    <row r="165" spans="1:24" ht="43.5">
      <c r="A165" s="47">
        <v>145</v>
      </c>
      <c r="C165" s="364" t="s">
        <v>105</v>
      </c>
      <c r="D165" s="364"/>
      <c r="E165" s="435"/>
      <c r="F165" s="435"/>
      <c r="G165" s="435"/>
      <c r="H165" s="435"/>
      <c r="I165" s="435"/>
      <c r="J165" s="435"/>
      <c r="K165" s="435"/>
      <c r="L165" s="435"/>
      <c r="M165" s="435"/>
      <c r="N165" s="436"/>
      <c r="O165" s="343">
        <v>8000</v>
      </c>
      <c r="P165" s="317">
        <v>3500</v>
      </c>
      <c r="Q165" s="318">
        <f t="shared" si="96"/>
        <v>4500</v>
      </c>
      <c r="R165" s="319">
        <f t="shared" si="97"/>
        <v>1.2857142857142858</v>
      </c>
      <c r="S165" s="320"/>
      <c r="T165" s="317">
        <v>3745.87</v>
      </c>
      <c r="U165" s="317">
        <v>2625.03</v>
      </c>
      <c r="V165" s="319">
        <f t="shared" si="98"/>
        <v>0.42698178687481653</v>
      </c>
      <c r="W165" s="321" t="s">
        <v>259</v>
      </c>
      <c r="X165" s="67"/>
    </row>
    <row r="166" spans="1:24" ht="42.75" customHeight="1">
      <c r="A166" s="47">
        <v>146</v>
      </c>
      <c r="C166" s="325" t="s">
        <v>77</v>
      </c>
      <c r="D166" s="334"/>
      <c r="E166" s="335"/>
      <c r="F166" s="336"/>
      <c r="G166" s="336"/>
      <c r="H166" s="336"/>
      <c r="I166" s="336"/>
      <c r="J166" s="336"/>
      <c r="K166" s="336"/>
      <c r="L166" s="336"/>
      <c r="M166" s="336"/>
      <c r="N166" s="325"/>
      <c r="O166" s="322">
        <v>8000</v>
      </c>
      <c r="P166" s="322">
        <v>7500</v>
      </c>
      <c r="Q166" s="323">
        <f t="shared" si="96"/>
        <v>500</v>
      </c>
      <c r="R166" s="324">
        <f t="shared" si="97"/>
        <v>6.6666666666666666E-2</v>
      </c>
      <c r="S166" s="325"/>
      <c r="T166" s="344">
        <v>9834.35</v>
      </c>
      <c r="U166" s="322">
        <v>5625</v>
      </c>
      <c r="V166" s="324">
        <f t="shared" si="98"/>
        <v>0.74832888888888893</v>
      </c>
      <c r="W166" s="326" t="s">
        <v>314</v>
      </c>
      <c r="X166" s="67"/>
    </row>
    <row r="167" spans="1:24" hidden="1">
      <c r="A167" s="47">
        <v>149</v>
      </c>
      <c r="C167" s="1" t="s">
        <v>78</v>
      </c>
      <c r="O167" s="61">
        <v>0</v>
      </c>
      <c r="P167" s="61">
        <v>0</v>
      </c>
      <c r="Q167" s="40">
        <f t="shared" si="96"/>
        <v>0</v>
      </c>
      <c r="R167" s="6" t="str">
        <f t="shared" si="97"/>
        <v>NA</v>
      </c>
      <c r="T167" s="61">
        <v>0</v>
      </c>
      <c r="U167" s="61">
        <v>0</v>
      </c>
      <c r="V167" s="6" t="str">
        <f t="shared" si="98"/>
        <v>NA</v>
      </c>
      <c r="W167" s="86"/>
      <c r="X167" s="71"/>
    </row>
    <row r="168" spans="1:24" s="4" customFormat="1">
      <c r="A168" s="47">
        <v>150</v>
      </c>
      <c r="B168" s="29" t="s">
        <v>79</v>
      </c>
      <c r="C168" s="29"/>
      <c r="D168" s="29"/>
      <c r="E168" s="102"/>
      <c r="F168" s="102"/>
      <c r="G168" s="102"/>
      <c r="H168" s="102"/>
      <c r="I168" s="102"/>
      <c r="J168" s="102"/>
      <c r="K168" s="102"/>
      <c r="L168" s="102"/>
      <c r="M168" s="102"/>
      <c r="N168" s="29"/>
      <c r="O168" s="29">
        <f>SUM(O162:O167)</f>
        <v>41399.94</v>
      </c>
      <c r="P168" s="29">
        <f>SUM(P162:P167)</f>
        <v>33821</v>
      </c>
      <c r="Q168" s="29">
        <f>SUM(Q162:Q167)</f>
        <v>7578.9400000000023</v>
      </c>
      <c r="R168" s="30">
        <f t="shared" si="97"/>
        <v>0.22408976671298905</v>
      </c>
      <c r="T168" s="29">
        <f>SUM(T162:T167)</f>
        <v>32668.07</v>
      </c>
      <c r="U168" s="29">
        <f>SUM(U162:U167)</f>
        <v>25365.75</v>
      </c>
      <c r="V168" s="30">
        <f t="shared" si="98"/>
        <v>0.28788109951410856</v>
      </c>
      <c r="W168" s="86"/>
      <c r="X168" s="70"/>
    </row>
    <row r="169" spans="1:24">
      <c r="A169" s="47">
        <v>151</v>
      </c>
      <c r="B169" s="29" t="s">
        <v>80</v>
      </c>
      <c r="C169" s="29"/>
      <c r="D169" s="29"/>
      <c r="E169" s="102"/>
      <c r="F169" s="102"/>
      <c r="G169" s="102"/>
      <c r="H169" s="102"/>
      <c r="I169" s="102"/>
      <c r="J169" s="102"/>
      <c r="K169" s="102"/>
      <c r="L169" s="102"/>
      <c r="M169" s="102"/>
      <c r="N169" s="29"/>
      <c r="O169" s="29">
        <f>+O159+O168</f>
        <v>71975.94</v>
      </c>
      <c r="P169" s="29">
        <f>+P159+P168</f>
        <v>62821</v>
      </c>
      <c r="Q169" s="29">
        <f>+Q159+Q168</f>
        <v>9154.9400000000023</v>
      </c>
      <c r="R169" s="30">
        <f t="shared" si="97"/>
        <v>0.14573056780375993</v>
      </c>
      <c r="T169" s="29">
        <f>+T159+T168</f>
        <v>57633.259999999995</v>
      </c>
      <c r="U169" s="29">
        <f>+U159+U168</f>
        <v>48315.839999999997</v>
      </c>
      <c r="V169" s="30">
        <f t="shared" si="98"/>
        <v>0.19284400312609692</v>
      </c>
      <c r="W169" s="84"/>
      <c r="X169" s="68"/>
    </row>
    <row r="170" spans="1:24" ht="4.5" customHeight="1">
      <c r="A170" s="47">
        <v>152</v>
      </c>
      <c r="R170" s="7"/>
      <c r="W170" s="84"/>
      <c r="X170" s="68"/>
    </row>
    <row r="171" spans="1:24" ht="18.5">
      <c r="A171" s="47">
        <v>153</v>
      </c>
      <c r="B171" s="9" t="s">
        <v>81</v>
      </c>
      <c r="R171" s="7"/>
      <c r="W171" s="84"/>
      <c r="X171" s="68"/>
    </row>
    <row r="172" spans="1:24">
      <c r="A172" s="47">
        <v>154</v>
      </c>
      <c r="B172" s="4" t="s">
        <v>82</v>
      </c>
      <c r="R172" s="7"/>
      <c r="W172" s="84"/>
      <c r="X172" s="68"/>
    </row>
    <row r="173" spans="1:24" ht="29">
      <c r="C173" s="315" t="s">
        <v>83</v>
      </c>
      <c r="D173" s="327"/>
      <c r="E173" s="328"/>
      <c r="F173" s="329"/>
      <c r="G173" s="329"/>
      <c r="H173" s="329"/>
      <c r="I173" s="329"/>
      <c r="J173" s="329"/>
      <c r="K173" s="329"/>
      <c r="L173" s="329"/>
      <c r="M173" s="329"/>
      <c r="N173" s="315"/>
      <c r="O173" s="345">
        <v>0</v>
      </c>
      <c r="P173" s="345">
        <v>0</v>
      </c>
      <c r="Q173" s="313">
        <f t="shared" ref="Q173" si="99">+O173-P173</f>
        <v>0</v>
      </c>
      <c r="R173" s="314" t="str">
        <f t="shared" ref="R173" si="100">IF(P173=0,"NA",(+O173-P173)/P173)</f>
        <v>NA</v>
      </c>
      <c r="S173" s="315"/>
      <c r="T173" s="312">
        <v>0</v>
      </c>
      <c r="U173" s="312">
        <v>0</v>
      </c>
      <c r="V173" s="314" t="str">
        <f t="shared" ref="V173" si="101">IF(U173=0,"NA",(+T173-U173)/U173)</f>
        <v>NA</v>
      </c>
      <c r="W173" s="316" t="s">
        <v>220</v>
      </c>
      <c r="X173" s="67"/>
    </row>
    <row r="174" spans="1:24">
      <c r="C174" s="320" t="s">
        <v>233</v>
      </c>
      <c r="D174" s="331"/>
      <c r="E174" s="332"/>
      <c r="F174" s="333"/>
      <c r="G174" s="333"/>
      <c r="H174" s="333"/>
      <c r="I174" s="333"/>
      <c r="J174" s="333"/>
      <c r="K174" s="333"/>
      <c r="L174" s="333"/>
      <c r="M174" s="333"/>
      <c r="N174" s="320"/>
      <c r="O174" s="343">
        <v>0</v>
      </c>
      <c r="P174" s="343">
        <v>0</v>
      </c>
      <c r="Q174" s="318">
        <f t="shared" ref="Q174" si="102">+O174-P174</f>
        <v>0</v>
      </c>
      <c r="R174" s="319" t="str">
        <f t="shared" ref="R174" si="103">IF(P174=0,"NA",(+O174-P174)/P174)</f>
        <v>NA</v>
      </c>
      <c r="S174" s="320"/>
      <c r="T174" s="317">
        <v>148.38</v>
      </c>
      <c r="U174" s="317">
        <v>0</v>
      </c>
      <c r="V174" s="319" t="str">
        <f t="shared" ref="V174" si="104">IF(U174=0,"NA",(+T174-U174)/U174)</f>
        <v>NA</v>
      </c>
      <c r="W174" s="321"/>
      <c r="X174" s="67"/>
    </row>
    <row r="175" spans="1:24" ht="43.5">
      <c r="A175" s="47">
        <v>156</v>
      </c>
      <c r="C175" s="320" t="s">
        <v>168</v>
      </c>
      <c r="D175" s="331"/>
      <c r="E175" s="332"/>
      <c r="F175" s="333"/>
      <c r="G175" s="333"/>
      <c r="H175" s="333"/>
      <c r="I175" s="333"/>
      <c r="J175" s="333"/>
      <c r="K175" s="333"/>
      <c r="L175" s="333"/>
      <c r="M175" s="333"/>
      <c r="N175" s="320"/>
      <c r="O175" s="343">
        <v>12000</v>
      </c>
      <c r="P175" s="343">
        <v>24378</v>
      </c>
      <c r="Q175" s="318">
        <f t="shared" ref="Q175:Q178" si="105">+O175-P175</f>
        <v>-12378</v>
      </c>
      <c r="R175" s="319">
        <f t="shared" ref="R175:R179" si="106">IF(P175=0,"NA",(+O175-P175)/P175)</f>
        <v>-0.50775289195175977</v>
      </c>
      <c r="S175" s="320"/>
      <c r="T175" s="317">
        <v>0</v>
      </c>
      <c r="U175" s="317">
        <v>18283.5</v>
      </c>
      <c r="V175" s="319">
        <f t="shared" ref="V175:V179" si="107">IF(U175=0,"NA",(+T175-U175)/U175)</f>
        <v>-1</v>
      </c>
      <c r="W175" s="321" t="s">
        <v>316</v>
      </c>
      <c r="X175" s="67"/>
    </row>
    <row r="176" spans="1:24" ht="29">
      <c r="A176" s="47">
        <v>157</v>
      </c>
      <c r="C176" s="320" t="s">
        <v>174</v>
      </c>
      <c r="D176" s="331"/>
      <c r="E176" s="332"/>
      <c r="F176" s="333"/>
      <c r="G176" s="333"/>
      <c r="H176" s="333"/>
      <c r="I176" s="333"/>
      <c r="J176" s="333"/>
      <c r="K176" s="333"/>
      <c r="L176" s="333"/>
      <c r="M176" s="333"/>
      <c r="N176" s="320"/>
      <c r="O176" s="343">
        <v>215</v>
      </c>
      <c r="P176" s="343">
        <v>5000</v>
      </c>
      <c r="Q176" s="318">
        <f t="shared" si="105"/>
        <v>-4785</v>
      </c>
      <c r="R176" s="319">
        <f t="shared" si="106"/>
        <v>-0.95699999999999996</v>
      </c>
      <c r="S176" s="320"/>
      <c r="T176" s="317">
        <v>0</v>
      </c>
      <c r="U176" s="317">
        <v>3750.03</v>
      </c>
      <c r="V176" s="319">
        <f t="shared" si="107"/>
        <v>-1</v>
      </c>
      <c r="W176" s="321" t="s">
        <v>315</v>
      </c>
      <c r="X176" s="68"/>
    </row>
    <row r="177" spans="1:24" ht="29">
      <c r="A177" s="47">
        <v>157</v>
      </c>
      <c r="C177" s="325" t="s">
        <v>219</v>
      </c>
      <c r="D177" s="334"/>
      <c r="E177" s="335"/>
      <c r="F177" s="336"/>
      <c r="G177" s="336"/>
      <c r="H177" s="336"/>
      <c r="I177" s="336"/>
      <c r="J177" s="336"/>
      <c r="K177" s="336"/>
      <c r="L177" s="336"/>
      <c r="M177" s="336"/>
      <c r="N177" s="325"/>
      <c r="O177" s="344">
        <v>0</v>
      </c>
      <c r="P177" s="344">
        <v>10000</v>
      </c>
      <c r="Q177" s="323">
        <f t="shared" ref="Q177" si="108">+O177-P177</f>
        <v>-10000</v>
      </c>
      <c r="R177" s="324">
        <f t="shared" ref="R177" si="109">IF(P177=0,"NA",(+O177-P177)/P177)</f>
        <v>-1</v>
      </c>
      <c r="S177" s="325"/>
      <c r="T177" s="322">
        <v>0</v>
      </c>
      <c r="U177" s="322">
        <v>7499.97</v>
      </c>
      <c r="V177" s="324">
        <f t="shared" ref="V177" si="110">IF(U177=0,"NA",(+T177-U177)/U177)</f>
        <v>-1</v>
      </c>
      <c r="W177" s="326" t="s">
        <v>221</v>
      </c>
      <c r="X177" s="68"/>
    </row>
    <row r="178" spans="1:24" hidden="1">
      <c r="A178" s="47">
        <v>158</v>
      </c>
      <c r="C178" s="1" t="s">
        <v>84</v>
      </c>
      <c r="O178" s="63">
        <v>0</v>
      </c>
      <c r="P178" s="63">
        <v>0</v>
      </c>
      <c r="Q178" s="40">
        <f t="shared" si="105"/>
        <v>0</v>
      </c>
      <c r="R178" s="6" t="str">
        <f t="shared" si="106"/>
        <v>NA</v>
      </c>
      <c r="T178" s="61">
        <v>0</v>
      </c>
      <c r="U178" s="61">
        <v>0</v>
      </c>
      <c r="V178" s="6" t="str">
        <f t="shared" si="107"/>
        <v>NA</v>
      </c>
      <c r="W178" s="71"/>
      <c r="X178" s="71" t="s">
        <v>151</v>
      </c>
    </row>
    <row r="179" spans="1:24" s="4" customFormat="1">
      <c r="A179" s="47">
        <v>159</v>
      </c>
      <c r="B179" s="31" t="s">
        <v>85</v>
      </c>
      <c r="C179" s="31"/>
      <c r="D179" s="31"/>
      <c r="E179" s="103"/>
      <c r="F179" s="103"/>
      <c r="G179" s="103"/>
      <c r="H179" s="103"/>
      <c r="I179" s="103"/>
      <c r="J179" s="103"/>
      <c r="K179" s="103"/>
      <c r="L179" s="103"/>
      <c r="M179" s="103"/>
      <c r="N179" s="31"/>
      <c r="O179" s="31">
        <f>SUM(O173:O178)</f>
        <v>12215</v>
      </c>
      <c r="P179" s="31">
        <f>SUM(P173:P178)</f>
        <v>39378</v>
      </c>
      <c r="Q179" s="31">
        <f>SUM(Q173:Q178)</f>
        <v>-27163</v>
      </c>
      <c r="R179" s="32">
        <f t="shared" si="106"/>
        <v>-0.68980141195591449</v>
      </c>
      <c r="T179" s="31">
        <f>SUM(T173:T178)</f>
        <v>148.38</v>
      </c>
      <c r="U179" s="31">
        <f>SUM(U173:U178)</f>
        <v>29533.5</v>
      </c>
      <c r="V179" s="32">
        <f t="shared" si="107"/>
        <v>-0.99497587485397931</v>
      </c>
      <c r="W179" s="86"/>
      <c r="X179" s="70"/>
    </row>
    <row r="180" spans="1:24" ht="7.5" customHeight="1">
      <c r="A180" s="47">
        <v>160</v>
      </c>
      <c r="D180" s="1"/>
      <c r="E180" s="42"/>
      <c r="R180" s="7"/>
      <c r="W180" s="84"/>
      <c r="X180" s="68"/>
    </row>
    <row r="181" spans="1:24">
      <c r="A181" s="47">
        <v>161</v>
      </c>
      <c r="B181" s="33" t="s">
        <v>86</v>
      </c>
      <c r="C181" s="34"/>
      <c r="D181" s="34"/>
      <c r="E181" s="104"/>
      <c r="F181" s="104"/>
      <c r="G181" s="104"/>
      <c r="H181" s="104"/>
      <c r="I181" s="104"/>
      <c r="J181" s="104"/>
      <c r="K181" s="104"/>
      <c r="L181" s="104"/>
      <c r="M181" s="104"/>
      <c r="N181" s="34"/>
      <c r="O181" s="33">
        <f>O29+O75+O148+O169+O179</f>
        <v>513300.32049999997</v>
      </c>
      <c r="P181" s="33">
        <f>+P75+P148+P169+P179+P29</f>
        <v>521499.84341041668</v>
      </c>
      <c r="Q181" s="33">
        <f>+Q75+Q148+Q169+Q179+Q29</f>
        <v>-8199.5229104166719</v>
      </c>
      <c r="R181" s="35">
        <f>IF(P181=0,"NA",(+O181-P181)/P181)</f>
        <v>-1.5722963322088175E-2</v>
      </c>
      <c r="T181" s="33">
        <f>+T75+T148+T169+T179+T29</f>
        <v>346857.22</v>
      </c>
      <c r="U181" s="33">
        <f>+U75+U148+U169+U179+U29</f>
        <v>392852.18</v>
      </c>
      <c r="V181" s="35">
        <f>IF(U181=0,"NA",(+T181-U181)/U181)</f>
        <v>-0.11707955903413854</v>
      </c>
      <c r="W181" s="84"/>
      <c r="X181" s="68"/>
    </row>
    <row r="182" spans="1:24">
      <c r="A182" s="47">
        <v>162</v>
      </c>
      <c r="B182" s="33" t="s">
        <v>87</v>
      </c>
      <c r="C182" s="34"/>
      <c r="D182" s="34"/>
      <c r="E182" s="104"/>
      <c r="F182" s="104"/>
      <c r="G182" s="104"/>
      <c r="H182" s="104"/>
      <c r="I182" s="104"/>
      <c r="J182" s="104"/>
      <c r="K182" s="104"/>
      <c r="L182" s="104"/>
      <c r="M182" s="104"/>
      <c r="N182" s="34"/>
      <c r="O182" s="33">
        <f>ROUND(+O21-O181,0)</f>
        <v>0</v>
      </c>
      <c r="P182" s="33">
        <f>ROUND(+P21-P181,0)</f>
        <v>0</v>
      </c>
      <c r="Q182" s="33">
        <f>ROUND(+Q21-Q181,0)</f>
        <v>0</v>
      </c>
      <c r="R182" s="35" t="str">
        <f>IF(P182=0,"NA",(+O182-P182)/P182)</f>
        <v>NA</v>
      </c>
      <c r="T182" s="33">
        <f>+T21-T181</f>
        <v>62331.630000000005</v>
      </c>
      <c r="U182" s="33">
        <f>+U21-U181</f>
        <v>14986.810000000056</v>
      </c>
      <c r="V182" s="35">
        <f>IF(U182=0,"NA",(+T182-U182)/U182)</f>
        <v>3.159099234593604</v>
      </c>
      <c r="W182" s="84"/>
      <c r="X182" s="68"/>
    </row>
    <row r="183" spans="1:24" ht="15" thickBot="1">
      <c r="R183" s="7"/>
      <c r="W183" s="84"/>
      <c r="X183" s="68"/>
    </row>
    <row r="184" spans="1:24">
      <c r="B184" s="117" t="s">
        <v>196</v>
      </c>
      <c r="C184" s="118"/>
      <c r="D184" s="118"/>
      <c r="E184" s="119"/>
      <c r="F184" s="119"/>
      <c r="G184" s="119"/>
      <c r="H184" s="119"/>
      <c r="I184" s="119"/>
      <c r="J184" s="119"/>
      <c r="K184" s="119"/>
      <c r="L184" s="119"/>
      <c r="M184" s="119"/>
      <c r="N184" s="118"/>
      <c r="O184" s="120">
        <f>+O21-O19</f>
        <v>513300</v>
      </c>
      <c r="P184" s="120">
        <f>+P21-P19</f>
        <v>521500</v>
      </c>
      <c r="Q184" s="121">
        <f t="shared" ref="Q184:Q186" si="111">+O184-P184</f>
        <v>-8200</v>
      </c>
      <c r="R184" s="122">
        <f t="shared" ref="R184:R186" si="112">IF(P184=0,"NA",(+O184-P184)/P184)</f>
        <v>-1.5723873441994246E-2</v>
      </c>
      <c r="S184" s="118"/>
      <c r="T184" s="120">
        <f>+T21-T19</f>
        <v>405408.85</v>
      </c>
      <c r="U184" s="120">
        <f>+U21-U19</f>
        <v>407838.99000000005</v>
      </c>
      <c r="V184" s="123">
        <f t="shared" ref="V184:V186" si="113">IF(U184=0,"NA",(+T184-U184)/U184)</f>
        <v>-5.9585769374332553E-3</v>
      </c>
      <c r="W184" s="71" t="s">
        <v>256</v>
      </c>
      <c r="X184" s="68"/>
    </row>
    <row r="185" spans="1:24">
      <c r="B185" s="124" t="s">
        <v>177</v>
      </c>
      <c r="C185" s="112"/>
      <c r="D185" s="112"/>
      <c r="E185" s="113"/>
      <c r="F185" s="113"/>
      <c r="G185" s="113"/>
      <c r="H185" s="113"/>
      <c r="I185" s="113"/>
      <c r="J185" s="113"/>
      <c r="K185" s="113"/>
      <c r="L185" s="113"/>
      <c r="M185" s="113"/>
      <c r="N185" s="112"/>
      <c r="O185" s="114">
        <f>+O181-O179</f>
        <v>501085.32049999997</v>
      </c>
      <c r="P185" s="114">
        <f>+P181-P179</f>
        <v>482121.84341041668</v>
      </c>
      <c r="Q185" s="115">
        <f t="shared" si="111"/>
        <v>18963.477089583292</v>
      </c>
      <c r="R185" s="116">
        <f t="shared" si="112"/>
        <v>3.9333370492903016E-2</v>
      </c>
      <c r="S185" s="112"/>
      <c r="T185" s="114">
        <f>+T181-T179</f>
        <v>346708.83999999997</v>
      </c>
      <c r="U185" s="114">
        <f>+U181-U179</f>
        <v>363318.68</v>
      </c>
      <c r="V185" s="125">
        <f t="shared" si="113"/>
        <v>-4.5716999742485095E-2</v>
      </c>
      <c r="W185" s="84"/>
      <c r="X185" s="68"/>
    </row>
    <row r="186" spans="1:24" ht="15" thickBot="1">
      <c r="B186" s="126" t="s">
        <v>197</v>
      </c>
      <c r="C186" s="127"/>
      <c r="D186" s="127"/>
      <c r="E186" s="128"/>
      <c r="F186" s="128"/>
      <c r="G186" s="128"/>
      <c r="H186" s="129"/>
      <c r="I186" s="129"/>
      <c r="J186" s="129"/>
      <c r="K186" s="129"/>
      <c r="L186" s="129"/>
      <c r="M186" s="129"/>
      <c r="N186" s="127"/>
      <c r="O186" s="130">
        <f>+O184-O185</f>
        <v>12214.679500000027</v>
      </c>
      <c r="P186" s="130">
        <f>+P184-P185</f>
        <v>39378.156589583319</v>
      </c>
      <c r="Q186" s="131">
        <f t="shared" si="111"/>
        <v>-27163.477089583292</v>
      </c>
      <c r="R186" s="132">
        <f t="shared" si="112"/>
        <v>-0.68981078450911615</v>
      </c>
      <c r="S186" s="127"/>
      <c r="T186" s="130">
        <f>+T184-T185</f>
        <v>58700.010000000009</v>
      </c>
      <c r="U186" s="130">
        <f>+U184-U185</f>
        <v>44520.310000000056</v>
      </c>
      <c r="V186" s="133">
        <f t="shared" si="113"/>
        <v>0.31849957918082639</v>
      </c>
      <c r="W186" s="84"/>
      <c r="X186" s="68"/>
    </row>
    <row r="187" spans="1:24">
      <c r="R187" s="7"/>
      <c r="W187" s="68"/>
      <c r="X187" s="68"/>
    </row>
    <row r="188" spans="1:24">
      <c r="H188" s="105"/>
      <c r="I188" s="105"/>
      <c r="J188" s="105"/>
      <c r="K188" s="105"/>
      <c r="L188" s="105"/>
      <c r="M188" s="105"/>
      <c r="V188" s="1"/>
      <c r="W188" s="68"/>
      <c r="X188" s="68"/>
    </row>
    <row r="189" spans="1:24">
      <c r="R189" s="7"/>
      <c r="W189" s="68"/>
      <c r="X189" s="68"/>
    </row>
    <row r="190" spans="1:24">
      <c r="D190" s="87"/>
      <c r="E190" s="106"/>
      <c r="R190" s="7"/>
      <c r="W190" s="68"/>
      <c r="X190" s="68"/>
    </row>
    <row r="191" spans="1:24">
      <c r="R191" s="7"/>
      <c r="W191" s="68"/>
      <c r="X191" s="68"/>
    </row>
    <row r="192" spans="1:24">
      <c r="A192" s="1"/>
      <c r="B192" s="1"/>
      <c r="R192" s="7"/>
      <c r="V192" s="1"/>
      <c r="W192" s="76"/>
      <c r="X192" s="76"/>
    </row>
    <row r="193" spans="1:24">
      <c r="A193" s="1"/>
      <c r="B193" s="1"/>
      <c r="R193" s="7"/>
      <c r="V193" s="1"/>
      <c r="W193" s="76"/>
      <c r="X193" s="76"/>
    </row>
    <row r="194" spans="1:24">
      <c r="A194" s="1"/>
      <c r="B194" s="1"/>
      <c r="R194" s="7"/>
      <c r="V194" s="1"/>
      <c r="W194" s="76"/>
      <c r="X194" s="76"/>
    </row>
    <row r="195" spans="1:24">
      <c r="A195" s="1"/>
      <c r="B195" s="1"/>
      <c r="R195" s="7"/>
      <c r="V195" s="1"/>
      <c r="W195" s="76"/>
      <c r="X195" s="76"/>
    </row>
    <row r="196" spans="1:24">
      <c r="A196" s="1"/>
      <c r="B196" s="1"/>
      <c r="R196" s="7"/>
      <c r="V196" s="1"/>
      <c r="W196" s="76"/>
      <c r="X196" s="76"/>
    </row>
    <row r="197" spans="1:24">
      <c r="A197" s="1"/>
      <c r="B197" s="1"/>
      <c r="R197" s="7"/>
      <c r="V197" s="1"/>
      <c r="W197" s="76"/>
      <c r="X197" s="76"/>
    </row>
    <row r="198" spans="1:24">
      <c r="A198" s="1"/>
      <c r="B198" s="1"/>
      <c r="R198" s="7"/>
      <c r="V198" s="1"/>
      <c r="W198" s="76"/>
      <c r="X198" s="40"/>
    </row>
    <row r="199" spans="1:24">
      <c r="A199" s="1"/>
      <c r="B199" s="1"/>
      <c r="R199" s="7"/>
      <c r="V199" s="1"/>
      <c r="W199" s="76"/>
      <c r="X199" s="40"/>
    </row>
    <row r="200" spans="1:24">
      <c r="A200" s="1"/>
      <c r="B200" s="1"/>
      <c r="R200" s="7"/>
      <c r="V200" s="1"/>
      <c r="W200" s="76"/>
      <c r="X200" s="40"/>
    </row>
    <row r="201" spans="1:24">
      <c r="A201" s="1"/>
      <c r="B201" s="1"/>
      <c r="R201" s="7"/>
      <c r="V201" s="1"/>
      <c r="W201" s="76"/>
      <c r="X201" s="40"/>
    </row>
    <row r="202" spans="1:24">
      <c r="A202" s="1"/>
      <c r="B202" s="1"/>
      <c r="R202" s="7"/>
      <c r="V202" s="1"/>
      <c r="W202" s="76"/>
      <c r="X202" s="40"/>
    </row>
    <row r="203" spans="1:24">
      <c r="A203" s="1"/>
      <c r="B203" s="1"/>
      <c r="R203" s="7"/>
      <c r="V203" s="1"/>
      <c r="W203" s="76"/>
      <c r="X203" s="40"/>
    </row>
    <row r="204" spans="1:24">
      <c r="A204" s="1"/>
      <c r="B204" s="1"/>
      <c r="R204" s="7"/>
      <c r="V204" s="1"/>
      <c r="W204" s="76"/>
      <c r="X204" s="40"/>
    </row>
    <row r="205" spans="1:24">
      <c r="A205" s="1"/>
      <c r="B205" s="1"/>
      <c r="R205" s="7"/>
      <c r="V205" s="1"/>
      <c r="W205" s="77"/>
      <c r="X205" s="40"/>
    </row>
    <row r="206" spans="1:24">
      <c r="X206" s="40"/>
    </row>
    <row r="207" spans="1:24">
      <c r="X207" s="56"/>
    </row>
    <row r="208" spans="1:24">
      <c r="X208" s="56"/>
    </row>
    <row r="209" spans="24:24">
      <c r="X209" s="56"/>
    </row>
    <row r="210" spans="24:24">
      <c r="X210" s="56"/>
    </row>
    <row r="211" spans="24:24">
      <c r="X211" s="56"/>
    </row>
    <row r="212" spans="24:24">
      <c r="X212" s="56"/>
    </row>
    <row r="213" spans="24:24">
      <c r="X213" s="56"/>
    </row>
    <row r="214" spans="24:24">
      <c r="X214" s="56"/>
    </row>
    <row r="215" spans="24:24">
      <c r="X215" s="56"/>
    </row>
    <row r="216" spans="24:24">
      <c r="X216" s="56"/>
    </row>
    <row r="217" spans="24:24">
      <c r="X217" s="56"/>
    </row>
    <row r="218" spans="24:24">
      <c r="X218" s="56"/>
    </row>
    <row r="219" spans="24:24">
      <c r="X219" s="56"/>
    </row>
    <row r="220" spans="24:24">
      <c r="X220" s="56"/>
    </row>
    <row r="221" spans="24:24">
      <c r="X221" s="56"/>
    </row>
    <row r="222" spans="24:24">
      <c r="X222" s="56"/>
    </row>
    <row r="223" spans="24:24">
      <c r="X223" s="56"/>
    </row>
    <row r="224" spans="24:24">
      <c r="X224" s="56"/>
    </row>
    <row r="225" spans="24:24">
      <c r="X225" s="56"/>
    </row>
    <row r="226" spans="24:24">
      <c r="X226" s="56"/>
    </row>
    <row r="227" spans="24:24">
      <c r="X227" s="56"/>
    </row>
    <row r="228" spans="24:24">
      <c r="X228" s="56"/>
    </row>
    <row r="229" spans="24:24">
      <c r="X229" s="56"/>
    </row>
    <row r="230" spans="24:24">
      <c r="X230" s="56"/>
    </row>
    <row r="231" spans="24:24">
      <c r="X231" s="56"/>
    </row>
    <row r="232" spans="24:24">
      <c r="X232" s="56"/>
    </row>
    <row r="233" spans="24:24">
      <c r="X233" s="56"/>
    </row>
    <row r="234" spans="24:24">
      <c r="X234" s="56"/>
    </row>
  </sheetData>
  <mergeCells count="26">
    <mergeCell ref="F143:H145"/>
    <mergeCell ref="I110:N111"/>
    <mergeCell ref="C142:D142"/>
    <mergeCell ref="I74:L74"/>
    <mergeCell ref="C82:D82"/>
    <mergeCell ref="E73:M73"/>
    <mergeCell ref="C165:D165"/>
    <mergeCell ref="E110:H110"/>
    <mergeCell ref="C143:D143"/>
    <mergeCell ref="E128:H128"/>
    <mergeCell ref="I128:L128"/>
    <mergeCell ref="E127:N127"/>
    <mergeCell ref="G78:H78"/>
    <mergeCell ref="G77:H77"/>
    <mergeCell ref="L82:N82"/>
    <mergeCell ref="B1:W1"/>
    <mergeCell ref="N77:N78"/>
    <mergeCell ref="O2:R2"/>
    <mergeCell ref="T2:V2"/>
    <mergeCell ref="Q3:R3"/>
    <mergeCell ref="T3:T4"/>
    <mergeCell ref="U3:U4"/>
    <mergeCell ref="V3:V4"/>
    <mergeCell ref="O3:O4"/>
    <mergeCell ref="P3:P4"/>
    <mergeCell ref="E74:H74"/>
  </mergeCells>
  <pageMargins left="0" right="0" top="0.25" bottom="0.5" header="0.3" footer="0.3"/>
  <pageSetup scale="74" fitToHeight="0" orientation="landscape" r:id="rId1"/>
  <headerFooter>
    <oddFooter>&amp;C&amp;P of &amp;N&amp;R&amp;D</oddFooter>
  </headerFooter>
  <rowBreaks count="3" manualBreakCount="3">
    <brk id="40" max="16383" man="1"/>
    <brk id="75" max="16383" man="1"/>
    <brk id="148" max="16383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showGridLines="0" workbookViewId="0">
      <selection activeCell="J38" sqref="J38"/>
    </sheetView>
  </sheetViews>
  <sheetFormatPr defaultRowHeight="14.5"/>
  <cols>
    <col min="1" max="1" width="35" style="186" customWidth="1"/>
    <col min="2" max="2" width="10.453125" style="186" customWidth="1"/>
    <col min="3" max="3" width="10" style="186" customWidth="1"/>
    <col min="4" max="4" width="8.7265625" style="186"/>
    <col min="5" max="6" width="8.7265625" style="186" customWidth="1"/>
    <col min="7" max="8" width="13.90625" style="186" customWidth="1"/>
    <col min="9" max="16384" width="8.7265625" style="186"/>
  </cols>
  <sheetData>
    <row r="1" spans="1:8">
      <c r="B1" s="187">
        <v>2018</v>
      </c>
      <c r="C1" s="188"/>
      <c r="D1" s="188"/>
      <c r="E1" s="188"/>
      <c r="F1" s="189"/>
      <c r="G1" s="298" t="s">
        <v>263</v>
      </c>
      <c r="H1" s="190" t="s">
        <v>298</v>
      </c>
    </row>
    <row r="2" spans="1:8">
      <c r="A2" s="235"/>
      <c r="B2" s="236" t="s">
        <v>261</v>
      </c>
      <c r="C2" s="237" t="s">
        <v>201</v>
      </c>
      <c r="D2" s="237" t="s">
        <v>279</v>
      </c>
      <c r="E2" s="237" t="s">
        <v>296</v>
      </c>
      <c r="F2" s="238" t="s">
        <v>271</v>
      </c>
      <c r="G2" s="191"/>
      <c r="H2" s="239"/>
    </row>
    <row r="3" spans="1:8">
      <c r="A3" s="240" t="s">
        <v>45</v>
      </c>
      <c r="B3" s="241">
        <v>52894</v>
      </c>
      <c r="C3" s="168">
        <f>+B6-C5</f>
        <v>46762</v>
      </c>
      <c r="D3" s="168">
        <f>+B6-D5</f>
        <v>46762</v>
      </c>
      <c r="E3" s="168">
        <f>+B3</f>
        <v>52894</v>
      </c>
      <c r="F3" s="178"/>
      <c r="G3" s="192">
        <f>+B6-G5</f>
        <v>46322</v>
      </c>
      <c r="H3" s="242"/>
    </row>
    <row r="4" spans="1:8">
      <c r="A4" s="240"/>
      <c r="B4" s="243">
        <v>0.3</v>
      </c>
      <c r="C4" s="170"/>
      <c r="D4" s="170"/>
      <c r="E4" s="169">
        <v>0.3</v>
      </c>
      <c r="F4" s="244"/>
      <c r="G4" s="193"/>
      <c r="H4" s="245"/>
    </row>
    <row r="5" spans="1:8" ht="15" thickBot="1">
      <c r="A5" s="240" t="s">
        <v>200</v>
      </c>
      <c r="B5" s="246">
        <f>ROUND(+B3*B4,0)</f>
        <v>15868</v>
      </c>
      <c r="C5" s="172">
        <v>22000</v>
      </c>
      <c r="D5" s="172">
        <f>+C5</f>
        <v>22000</v>
      </c>
      <c r="E5" s="171">
        <f>ROUND(+E3*E4,0)</f>
        <v>15868</v>
      </c>
      <c r="F5" s="175"/>
      <c r="G5" s="194">
        <v>22440</v>
      </c>
      <c r="H5" s="247"/>
    </row>
    <row r="6" spans="1:8" ht="14.5" customHeight="1">
      <c r="A6" s="240" t="s">
        <v>202</v>
      </c>
      <c r="B6" s="248">
        <f>+B3+B5</f>
        <v>68762</v>
      </c>
      <c r="C6" s="249">
        <f>+C3+C5</f>
        <v>68762</v>
      </c>
      <c r="D6" s="249">
        <f>+D3+D5</f>
        <v>68762</v>
      </c>
      <c r="E6" s="249">
        <f>+E3+E5</f>
        <v>68762</v>
      </c>
      <c r="F6" s="250"/>
      <c r="G6" s="195">
        <f>+G3+G5</f>
        <v>68762</v>
      </c>
      <c r="H6" s="251"/>
    </row>
    <row r="7" spans="1:8">
      <c r="A7" s="252"/>
      <c r="B7" s="252"/>
      <c r="C7" s="253"/>
      <c r="D7" s="253"/>
      <c r="E7" s="253"/>
      <c r="F7" s="254"/>
      <c r="G7" s="193"/>
      <c r="H7" s="245"/>
    </row>
    <row r="8" spans="1:8">
      <c r="A8" s="240" t="s">
        <v>218</v>
      </c>
      <c r="B8" s="252"/>
      <c r="C8" s="173">
        <f>(23/24)</f>
        <v>0.95833333333333337</v>
      </c>
      <c r="D8" s="173">
        <f>(23/24)</f>
        <v>0.95833333333333337</v>
      </c>
      <c r="E8" s="173">
        <v>1</v>
      </c>
      <c r="F8" s="174">
        <v>1</v>
      </c>
      <c r="G8" s="182">
        <v>1</v>
      </c>
      <c r="H8" s="255"/>
    </row>
    <row r="9" spans="1:8">
      <c r="A9" s="252"/>
      <c r="B9" s="252"/>
      <c r="C9" s="253"/>
      <c r="D9" s="253"/>
      <c r="E9" s="253"/>
      <c r="F9" s="254"/>
      <c r="G9" s="193"/>
      <c r="H9" s="245"/>
    </row>
    <row r="10" spans="1:8">
      <c r="A10" s="240" t="s">
        <v>264</v>
      </c>
      <c r="B10" s="252"/>
      <c r="C10" s="256">
        <v>0</v>
      </c>
      <c r="D10" s="256">
        <v>0</v>
      </c>
      <c r="E10" s="256">
        <v>0</v>
      </c>
      <c r="F10" s="257">
        <v>0</v>
      </c>
      <c r="G10" s="198">
        <v>0.02</v>
      </c>
      <c r="H10" s="258"/>
    </row>
    <row r="11" spans="1:8">
      <c r="A11" s="259" t="s">
        <v>262</v>
      </c>
      <c r="B11" s="260"/>
      <c r="C11" s="261">
        <f>+C6*C8</f>
        <v>65896.916666666672</v>
      </c>
      <c r="D11" s="261">
        <f>+D6*D8</f>
        <v>65896.916666666672</v>
      </c>
      <c r="E11" s="261">
        <f>+E6*E8</f>
        <v>68762</v>
      </c>
      <c r="F11" s="262">
        <f>+C6*F8</f>
        <v>68762</v>
      </c>
      <c r="G11" s="199">
        <f>ROUND(+G6*(1+G10),0)</f>
        <v>70137</v>
      </c>
      <c r="H11" s="263"/>
    </row>
    <row r="12" spans="1:8">
      <c r="A12" s="252"/>
      <c r="B12" s="252"/>
      <c r="C12" s="253"/>
      <c r="D12" s="253"/>
      <c r="E12" s="253"/>
      <c r="F12" s="254"/>
      <c r="G12" s="193"/>
      <c r="H12" s="245"/>
    </row>
    <row r="13" spans="1:8">
      <c r="A13" s="264" t="s">
        <v>265</v>
      </c>
      <c r="B13" s="252"/>
      <c r="C13" s="253"/>
      <c r="D13" s="253"/>
      <c r="E13" s="253"/>
      <c r="F13" s="254"/>
      <c r="G13" s="193"/>
      <c r="H13" s="245"/>
    </row>
    <row r="14" spans="1:8">
      <c r="A14" s="264"/>
      <c r="B14" s="252"/>
      <c r="C14" s="168">
        <f>+C32</f>
        <v>0</v>
      </c>
      <c r="D14" s="168">
        <f>+D32</f>
        <v>0</v>
      </c>
      <c r="E14" s="168">
        <f>+E32</f>
        <v>8015</v>
      </c>
      <c r="F14" s="178">
        <f>+F32</f>
        <v>0</v>
      </c>
      <c r="G14" s="184">
        <f>+G32</f>
        <v>2600</v>
      </c>
      <c r="H14" s="265"/>
    </row>
    <row r="15" spans="1:8">
      <c r="A15" s="264"/>
      <c r="B15" s="252"/>
      <c r="C15" s="253"/>
      <c r="D15" s="253"/>
      <c r="E15" s="253"/>
      <c r="F15" s="254"/>
      <c r="G15" s="193"/>
      <c r="H15" s="245"/>
    </row>
    <row r="16" spans="1:8">
      <c r="A16" s="266"/>
      <c r="B16" s="252"/>
      <c r="C16" s="253"/>
      <c r="D16" s="253"/>
      <c r="E16" s="253"/>
      <c r="F16" s="254"/>
      <c r="G16" s="193"/>
      <c r="H16" s="245"/>
    </row>
    <row r="17" spans="1:10">
      <c r="A17" s="259" t="s">
        <v>262</v>
      </c>
      <c r="B17" s="260"/>
      <c r="C17" s="261">
        <f>+C11+C14</f>
        <v>65896.916666666672</v>
      </c>
      <c r="D17" s="261">
        <f>+D11+D14</f>
        <v>65896.916666666672</v>
      </c>
      <c r="E17" s="261">
        <f>+E11+E14</f>
        <v>76777</v>
      </c>
      <c r="F17" s="262">
        <f>+F11+F14</f>
        <v>68762</v>
      </c>
      <c r="G17" s="199">
        <f>+G11+G14</f>
        <v>72737</v>
      </c>
      <c r="H17" s="263">
        <f>50297+22440</f>
        <v>72737</v>
      </c>
    </row>
    <row r="18" spans="1:10">
      <c r="A18" s="252"/>
      <c r="B18" s="252"/>
      <c r="C18" s="253"/>
      <c r="D18" s="253"/>
      <c r="E18" s="253"/>
      <c r="F18" s="254"/>
      <c r="G18" s="193"/>
      <c r="H18" s="245"/>
    </row>
    <row r="19" spans="1:10">
      <c r="A19" s="252" t="s">
        <v>266</v>
      </c>
      <c r="B19" s="252"/>
      <c r="C19" s="176">
        <v>7.6499999999999999E-2</v>
      </c>
      <c r="D19" s="176">
        <v>7.6499999999999999E-2</v>
      </c>
      <c r="E19" s="176">
        <v>7.6499999999999999E-2</v>
      </c>
      <c r="F19" s="177">
        <v>7.6499999999999999E-2</v>
      </c>
      <c r="G19" s="183">
        <v>7.6499999999999999E-2</v>
      </c>
      <c r="H19" s="267">
        <v>7.6499999999999999E-2</v>
      </c>
    </row>
    <row r="20" spans="1:10">
      <c r="A20" s="252"/>
      <c r="B20" s="252"/>
      <c r="C20" s="253"/>
      <c r="D20" s="253"/>
      <c r="E20" s="253"/>
      <c r="F20" s="254"/>
      <c r="G20" s="193"/>
      <c r="H20" s="245"/>
    </row>
    <row r="21" spans="1:10">
      <c r="A21" s="252" t="s">
        <v>267</v>
      </c>
      <c r="B21" s="252"/>
      <c r="C21" s="168">
        <f>+C17*C19</f>
        <v>5041.1141250000001</v>
      </c>
      <c r="D21" s="168">
        <f>+D17*D19</f>
        <v>5041.1141250000001</v>
      </c>
      <c r="E21" s="168">
        <f>+E17*E19</f>
        <v>5873.4404999999997</v>
      </c>
      <c r="F21" s="178">
        <f>+F17*F19</f>
        <v>5260.2929999999997</v>
      </c>
      <c r="G21" s="184">
        <f>+G17*G19</f>
        <v>5564.3805000000002</v>
      </c>
      <c r="H21" s="265">
        <f>+H17*H19</f>
        <v>5564.3805000000002</v>
      </c>
      <c r="J21" s="196"/>
    </row>
    <row r="22" spans="1:10">
      <c r="A22" s="252"/>
      <c r="B22" s="252"/>
      <c r="C22" s="253"/>
      <c r="D22" s="253"/>
      <c r="E22" s="253"/>
      <c r="F22" s="254"/>
      <c r="G22" s="193"/>
      <c r="H22" s="245"/>
    </row>
    <row r="23" spans="1:10">
      <c r="A23" s="268" t="s">
        <v>268</v>
      </c>
      <c r="B23" s="269"/>
      <c r="C23" s="270">
        <f>+C17+C21</f>
        <v>70938.030791666679</v>
      </c>
      <c r="D23" s="270">
        <f>+D17+D21</f>
        <v>70938.030791666679</v>
      </c>
      <c r="E23" s="270">
        <f>+E17+E21</f>
        <v>82650.440499999997</v>
      </c>
      <c r="F23" s="271">
        <f>+F17+F21</f>
        <v>74022.293000000005</v>
      </c>
      <c r="G23" s="203">
        <f>+G17+G21</f>
        <v>78301.380499999999</v>
      </c>
      <c r="H23" s="272">
        <f>+H17+H21</f>
        <v>78301.380499999999</v>
      </c>
    </row>
    <row r="24" spans="1:10">
      <c r="A24" s="273"/>
      <c r="B24" s="273"/>
      <c r="C24" s="273"/>
      <c r="D24" s="273"/>
      <c r="E24" s="273"/>
      <c r="F24" s="273"/>
      <c r="G24" s="273"/>
      <c r="H24" s="273"/>
    </row>
    <row r="25" spans="1:10">
      <c r="A25" s="274" t="s">
        <v>275</v>
      </c>
      <c r="B25" s="235"/>
      <c r="C25" s="275"/>
      <c r="D25" s="275"/>
      <c r="E25" s="275"/>
      <c r="F25" s="276"/>
      <c r="G25" s="299"/>
      <c r="H25" s="276"/>
    </row>
    <row r="26" spans="1:10">
      <c r="A26" s="252" t="s">
        <v>269</v>
      </c>
      <c r="B26" s="252"/>
      <c r="C26" s="168">
        <f>6011.15*C8</f>
        <v>5760.6854166666662</v>
      </c>
      <c r="D26" s="168"/>
      <c r="E26" s="168">
        <f>6011.15*E8</f>
        <v>6011.15</v>
      </c>
      <c r="F26" s="178">
        <f>6011.15</f>
        <v>6011.15</v>
      </c>
      <c r="G26" s="179">
        <v>4973</v>
      </c>
      <c r="H26" s="175"/>
      <c r="J26" s="196"/>
    </row>
    <row r="27" spans="1:10">
      <c r="A27" s="252" t="s">
        <v>309</v>
      </c>
      <c r="B27" s="252"/>
      <c r="C27" s="167">
        <v>0</v>
      </c>
      <c r="D27" s="167">
        <v>0</v>
      </c>
      <c r="E27" s="167">
        <v>0</v>
      </c>
      <c r="F27" s="175">
        <v>0</v>
      </c>
      <c r="G27" s="179">
        <v>2600</v>
      </c>
      <c r="H27" s="175"/>
      <c r="J27" s="196"/>
    </row>
    <row r="28" spans="1:10">
      <c r="A28" s="252" t="s">
        <v>310</v>
      </c>
      <c r="B28" s="252"/>
      <c r="C28" s="168">
        <f>+C26+C27</f>
        <v>5760.6854166666662</v>
      </c>
      <c r="D28" s="168">
        <f t="shared" ref="D28:G28" si="0">+D26+D27</f>
        <v>0</v>
      </c>
      <c r="E28" s="168">
        <f t="shared" si="0"/>
        <v>6011.15</v>
      </c>
      <c r="F28" s="178">
        <f t="shared" si="0"/>
        <v>6011.15</v>
      </c>
      <c r="G28" s="181">
        <f t="shared" si="0"/>
        <v>7573</v>
      </c>
      <c r="H28" s="175"/>
      <c r="J28" s="196"/>
    </row>
    <row r="29" spans="1:10">
      <c r="A29" s="252" t="s">
        <v>270</v>
      </c>
      <c r="B29" s="252"/>
      <c r="C29" s="176">
        <v>0.25</v>
      </c>
      <c r="D29" s="176"/>
      <c r="E29" s="176">
        <v>0.25</v>
      </c>
      <c r="F29" s="177">
        <v>0.25</v>
      </c>
      <c r="G29" s="180">
        <v>0.25</v>
      </c>
      <c r="H29" s="177"/>
    </row>
    <row r="30" spans="1:10">
      <c r="A30" s="260" t="s">
        <v>272</v>
      </c>
      <c r="B30" s="260"/>
      <c r="C30" s="277">
        <f>+C28/(1-C29)</f>
        <v>7680.9138888888883</v>
      </c>
      <c r="D30" s="278">
        <v>8015</v>
      </c>
      <c r="E30" s="277">
        <f>ROUND(+E28/(1-E29),0)</f>
        <v>8015</v>
      </c>
      <c r="F30" s="279">
        <f>+F28/(1-F29)</f>
        <v>8014.8666666666659</v>
      </c>
      <c r="G30" s="300">
        <f>ROUND(+G28/(1-G29),0)</f>
        <v>10097</v>
      </c>
      <c r="H30" s="279"/>
    </row>
    <row r="31" spans="1:10">
      <c r="A31" s="252"/>
      <c r="B31" s="252"/>
      <c r="C31" s="168"/>
      <c r="D31" s="168"/>
      <c r="E31" s="168"/>
      <c r="F31" s="254"/>
      <c r="G31" s="197"/>
      <c r="H31" s="254"/>
    </row>
    <row r="32" spans="1:10">
      <c r="A32" s="252" t="s">
        <v>273</v>
      </c>
      <c r="B32" s="252"/>
      <c r="C32" s="167">
        <v>0</v>
      </c>
      <c r="D32" s="167">
        <v>0</v>
      </c>
      <c r="E32" s="167">
        <v>8015</v>
      </c>
      <c r="F32" s="175">
        <v>0</v>
      </c>
      <c r="G32" s="179">
        <v>2600</v>
      </c>
      <c r="H32" s="175"/>
    </row>
    <row r="33" spans="1:8">
      <c r="A33" s="269" t="s">
        <v>274</v>
      </c>
      <c r="B33" s="269"/>
      <c r="C33" s="280">
        <f>+C30-C32</f>
        <v>7680.9138888888883</v>
      </c>
      <c r="D33" s="280">
        <f>+D30-D32</f>
        <v>8015</v>
      </c>
      <c r="E33" s="280">
        <f>+E30-E32</f>
        <v>0</v>
      </c>
      <c r="F33" s="281">
        <f>+F30-F32</f>
        <v>8014.8666666666659</v>
      </c>
      <c r="G33" s="301">
        <f>+G30-G32</f>
        <v>7497</v>
      </c>
      <c r="H33" s="281"/>
    </row>
    <row r="34" spans="1:8">
      <c r="A34" s="273"/>
      <c r="B34" s="273"/>
      <c r="C34" s="273"/>
      <c r="D34" s="273"/>
      <c r="E34" s="273"/>
      <c r="F34" s="273"/>
      <c r="G34" s="273"/>
      <c r="H34" s="273"/>
    </row>
    <row r="35" spans="1:8">
      <c r="A35" s="274" t="s">
        <v>205</v>
      </c>
      <c r="B35" s="235"/>
      <c r="C35" s="282">
        <v>0.11</v>
      </c>
      <c r="D35" s="282">
        <v>0.11</v>
      </c>
      <c r="E35" s="282">
        <v>0.11</v>
      </c>
      <c r="F35" s="283">
        <v>0.11</v>
      </c>
      <c r="G35" s="230">
        <v>0.11</v>
      </c>
      <c r="H35" s="283"/>
    </row>
    <row r="36" spans="1:8">
      <c r="A36" s="252" t="s">
        <v>280</v>
      </c>
      <c r="B36" s="252"/>
      <c r="C36" s="211">
        <f>+C23</f>
        <v>70938.030791666679</v>
      </c>
      <c r="D36" s="211">
        <f t="shared" ref="D36:G36" si="1">+D23</f>
        <v>70938.030791666679</v>
      </c>
      <c r="E36" s="211">
        <f>+E23</f>
        <v>82650.440499999997</v>
      </c>
      <c r="F36" s="284">
        <f t="shared" si="1"/>
        <v>74022.293000000005</v>
      </c>
      <c r="G36" s="231">
        <f t="shared" si="1"/>
        <v>78301.380499999999</v>
      </c>
      <c r="H36" s="284"/>
    </row>
    <row r="37" spans="1:8">
      <c r="A37" s="252" t="s">
        <v>276</v>
      </c>
      <c r="B37" s="252"/>
      <c r="C37" s="211">
        <f>+C36*C35</f>
        <v>7803.1833870833343</v>
      </c>
      <c r="D37" s="285">
        <f>((+D36+D38)+(D19*D30))*D35</f>
        <v>8752.2796120833355</v>
      </c>
      <c r="E37" s="211">
        <f>+E36*E35</f>
        <v>9091.5484550000001</v>
      </c>
      <c r="F37" s="284">
        <f t="shared" ref="F37:G37" si="2">+F36*F35</f>
        <v>8142.4522300000008</v>
      </c>
      <c r="G37" s="231">
        <f>ROUND(+G36*G35,0)</f>
        <v>8613</v>
      </c>
      <c r="H37" s="286">
        <v>8613</v>
      </c>
    </row>
    <row r="38" spans="1:8">
      <c r="A38" s="252" t="s">
        <v>277</v>
      </c>
      <c r="B38" s="252"/>
      <c r="C38" s="211">
        <f>+C33</f>
        <v>7680.9138888888883</v>
      </c>
      <c r="D38" s="211">
        <f>+D33</f>
        <v>8015</v>
      </c>
      <c r="E38" s="211">
        <f>+E33</f>
        <v>0</v>
      </c>
      <c r="F38" s="284">
        <f t="shared" ref="F38:G38" si="3">+F33</f>
        <v>8014.8666666666659</v>
      </c>
      <c r="G38" s="231">
        <f t="shared" si="3"/>
        <v>7497</v>
      </c>
      <c r="H38" s="286">
        <v>5090</v>
      </c>
    </row>
    <row r="39" spans="1:8">
      <c r="A39" s="260" t="s">
        <v>278</v>
      </c>
      <c r="B39" s="260"/>
      <c r="C39" s="287">
        <f>+C37+C38</f>
        <v>15484.097275972223</v>
      </c>
      <c r="D39" s="287">
        <f>+D37+D38</f>
        <v>16767.279612083337</v>
      </c>
      <c r="E39" s="287">
        <f>+E37+E38</f>
        <v>9091.5484550000001</v>
      </c>
      <c r="F39" s="288">
        <f t="shared" ref="F39:G39" si="4">+F37+F38</f>
        <v>16157.318896666668</v>
      </c>
      <c r="G39" s="233">
        <f t="shared" si="4"/>
        <v>16110</v>
      </c>
      <c r="H39" s="289">
        <f>+H37+H38</f>
        <v>13703</v>
      </c>
    </row>
    <row r="40" spans="1:8">
      <c r="A40" s="269" t="s">
        <v>291</v>
      </c>
      <c r="B40" s="269"/>
      <c r="C40" s="290">
        <f t="shared" ref="C40:F40" si="5">+C39/C36</f>
        <v>0.21827639001491975</v>
      </c>
      <c r="D40" s="290">
        <f t="shared" si="5"/>
        <v>0.23636516865440033</v>
      </c>
      <c r="E40" s="290">
        <f t="shared" si="5"/>
        <v>0.11</v>
      </c>
      <c r="F40" s="291">
        <f t="shared" si="5"/>
        <v>0.21827639001491977</v>
      </c>
      <c r="G40" s="234">
        <f>+G39/G36</f>
        <v>0.20574349899233257</v>
      </c>
      <c r="H40" s="291"/>
    </row>
    <row r="41" spans="1:8">
      <c r="A41" s="273"/>
      <c r="B41" s="273"/>
      <c r="C41" s="273"/>
      <c r="D41" s="273"/>
      <c r="E41" s="273"/>
      <c r="F41" s="273"/>
      <c r="G41" s="273"/>
      <c r="H41" s="273"/>
    </row>
    <row r="42" spans="1:8">
      <c r="A42" s="274" t="s">
        <v>290</v>
      </c>
      <c r="B42" s="235"/>
      <c r="C42" s="275"/>
      <c r="D42" s="275"/>
      <c r="E42" s="275"/>
      <c r="F42" s="276"/>
      <c r="G42" s="299"/>
      <c r="H42" s="276"/>
    </row>
    <row r="43" spans="1:8">
      <c r="A43" s="252" t="s">
        <v>208</v>
      </c>
      <c r="B43" s="252"/>
      <c r="C43" s="292">
        <v>0.03</v>
      </c>
      <c r="D43" s="292">
        <v>0.03</v>
      </c>
      <c r="E43" s="292">
        <v>0.03</v>
      </c>
      <c r="F43" s="293">
        <v>0.03</v>
      </c>
      <c r="G43" s="302">
        <v>2.5000000000000001E-2</v>
      </c>
      <c r="H43" s="293">
        <v>2.5000000000000001E-2</v>
      </c>
    </row>
    <row r="44" spans="1:8">
      <c r="A44" s="252" t="s">
        <v>209</v>
      </c>
      <c r="B44" s="252"/>
      <c r="C44" s="292">
        <v>3.0000000000000001E-3</v>
      </c>
      <c r="D44" s="292">
        <v>3.0000000000000001E-3</v>
      </c>
      <c r="E44" s="292">
        <v>3.0000000000000001E-3</v>
      </c>
      <c r="F44" s="293">
        <v>3.0000000000000001E-3</v>
      </c>
      <c r="G44" s="302">
        <v>2E-3</v>
      </c>
      <c r="H44" s="293">
        <v>2E-3</v>
      </c>
    </row>
    <row r="45" spans="1:8">
      <c r="A45" s="252" t="s">
        <v>210</v>
      </c>
      <c r="B45" s="252"/>
      <c r="C45" s="292">
        <v>7.0000000000000001E-3</v>
      </c>
      <c r="D45" s="292">
        <v>7.0000000000000001E-3</v>
      </c>
      <c r="E45" s="292">
        <v>7.0000000000000001E-3</v>
      </c>
      <c r="F45" s="293">
        <v>7.0000000000000001E-3</v>
      </c>
      <c r="G45" s="302">
        <v>7.0000000000000001E-3</v>
      </c>
      <c r="H45" s="293">
        <v>7.0000000000000001E-3</v>
      </c>
    </row>
    <row r="46" spans="1:8">
      <c r="A46" s="252" t="s">
        <v>293</v>
      </c>
      <c r="B46" s="252"/>
      <c r="C46" s="294">
        <f>+C43+C44+C45</f>
        <v>0.04</v>
      </c>
      <c r="D46" s="294">
        <f t="shared" ref="D46:H46" si="6">+D43+D44+D45</f>
        <v>0.04</v>
      </c>
      <c r="E46" s="294">
        <f t="shared" si="6"/>
        <v>0.04</v>
      </c>
      <c r="F46" s="295">
        <f t="shared" si="6"/>
        <v>0.04</v>
      </c>
      <c r="G46" s="303">
        <f t="shared" si="6"/>
        <v>3.4000000000000002E-2</v>
      </c>
      <c r="H46" s="295">
        <f t="shared" si="6"/>
        <v>3.4000000000000002E-2</v>
      </c>
    </row>
    <row r="47" spans="1:8">
      <c r="A47" s="252" t="s">
        <v>280</v>
      </c>
      <c r="B47" s="252"/>
      <c r="C47" s="211">
        <f>+C23</f>
        <v>70938.030791666679</v>
      </c>
      <c r="D47" s="211">
        <f t="shared" ref="D47:G47" si="7">+D23</f>
        <v>70938.030791666679</v>
      </c>
      <c r="E47" s="211">
        <f t="shared" ref="E47" si="8">+E23</f>
        <v>82650.440499999997</v>
      </c>
      <c r="F47" s="284">
        <f t="shared" si="7"/>
        <v>74022.293000000005</v>
      </c>
      <c r="G47" s="231">
        <f t="shared" si="7"/>
        <v>78301.380499999999</v>
      </c>
      <c r="H47" s="284">
        <f t="shared" ref="H47" si="9">+H23</f>
        <v>78301.380499999999</v>
      </c>
    </row>
    <row r="48" spans="1:8" ht="43.5">
      <c r="A48" s="296" t="s">
        <v>297</v>
      </c>
      <c r="B48" s="252"/>
      <c r="C48" s="211">
        <f>+C30</f>
        <v>7680.9138888888883</v>
      </c>
      <c r="D48" s="211">
        <f t="shared" ref="D48:F48" si="10">+D30</f>
        <v>8015</v>
      </c>
      <c r="E48" s="297">
        <v>0</v>
      </c>
      <c r="F48" s="284">
        <f t="shared" si="10"/>
        <v>8014.8666666666659</v>
      </c>
      <c r="G48" s="232">
        <v>0</v>
      </c>
      <c r="H48" s="286">
        <v>0</v>
      </c>
    </row>
    <row r="49" spans="1:10" ht="29">
      <c r="A49" s="296" t="s">
        <v>295</v>
      </c>
      <c r="B49" s="252"/>
      <c r="C49" s="211">
        <f>+C33*C19</f>
        <v>587.58991249999997</v>
      </c>
      <c r="D49" s="211">
        <f t="shared" ref="D49:F49" si="11">+D33*D19</f>
        <v>613.14750000000004</v>
      </c>
      <c r="E49" s="211">
        <f t="shared" ref="E49" si="12">+E33*E19</f>
        <v>0</v>
      </c>
      <c r="F49" s="284">
        <f t="shared" si="11"/>
        <v>613.13729999999998</v>
      </c>
      <c r="G49" s="231"/>
      <c r="H49" s="284"/>
    </row>
    <row r="50" spans="1:10">
      <c r="A50" s="208" t="s">
        <v>294</v>
      </c>
      <c r="B50" s="208"/>
      <c r="C50" s="209">
        <f>SUM(C47:C49)</f>
        <v>79206.534593055563</v>
      </c>
      <c r="D50" s="209">
        <f t="shared" ref="D50:H50" si="13">SUM(D47:D49)</f>
        <v>79566.178291666685</v>
      </c>
      <c r="E50" s="209">
        <f t="shared" si="13"/>
        <v>82650.440499999997</v>
      </c>
      <c r="F50" s="210">
        <f t="shared" si="13"/>
        <v>82650.296966666676</v>
      </c>
      <c r="G50" s="231">
        <f t="shared" si="13"/>
        <v>78301.380499999999</v>
      </c>
      <c r="H50" s="210">
        <f t="shared" si="13"/>
        <v>78301.380499999999</v>
      </c>
    </row>
    <row r="51" spans="1:10">
      <c r="A51" s="214" t="s">
        <v>292</v>
      </c>
      <c r="B51" s="214"/>
      <c r="C51" s="215">
        <f>+C50*C46</f>
        <v>3168.2613837222225</v>
      </c>
      <c r="D51" s="215">
        <f>+D50*D46+1</f>
        <v>3183.6471316666675</v>
      </c>
      <c r="E51" s="215">
        <f>+E50*E46+1</f>
        <v>3307.0176200000001</v>
      </c>
      <c r="F51" s="216">
        <f>+F50*F46+1</f>
        <v>3307.0118786666671</v>
      </c>
      <c r="G51" s="202">
        <f>ROUND(+G50*G46,0)</f>
        <v>2662</v>
      </c>
      <c r="H51" s="216">
        <f t="shared" ref="G51:H51" si="14">+H50*H46</f>
        <v>2662.2469370000003</v>
      </c>
    </row>
    <row r="52" spans="1:10">
      <c r="D52" s="196"/>
      <c r="E52" s="196"/>
    </row>
    <row r="53" spans="1:10">
      <c r="A53" s="204" t="s">
        <v>114</v>
      </c>
      <c r="B53" s="205"/>
      <c r="C53" s="218"/>
      <c r="D53" s="218"/>
      <c r="E53" s="218"/>
      <c r="F53" s="219"/>
      <c r="G53" s="304"/>
      <c r="H53" s="219"/>
    </row>
    <row r="54" spans="1:10">
      <c r="A54" s="208" t="s">
        <v>299</v>
      </c>
      <c r="B54" s="208"/>
      <c r="C54" s="212">
        <v>1500</v>
      </c>
      <c r="D54" s="212">
        <v>1500</v>
      </c>
      <c r="E54" s="212">
        <v>1500</v>
      </c>
      <c r="F54" s="213">
        <v>1500</v>
      </c>
      <c r="G54" s="305">
        <v>1500</v>
      </c>
      <c r="H54" s="213">
        <v>1500</v>
      </c>
    </row>
    <row r="55" spans="1:10">
      <c r="A55" s="208" t="s">
        <v>300</v>
      </c>
      <c r="B55" s="208"/>
      <c r="C55" s="212">
        <v>1000</v>
      </c>
      <c r="D55" s="212">
        <v>1000</v>
      </c>
      <c r="E55" s="212">
        <v>1000</v>
      </c>
      <c r="F55" s="213">
        <v>1000</v>
      </c>
      <c r="G55" s="305">
        <v>1000</v>
      </c>
      <c r="H55" s="213">
        <v>700</v>
      </c>
      <c r="I55" s="217"/>
    </row>
    <row r="56" spans="1:10">
      <c r="A56" s="208" t="s">
        <v>114</v>
      </c>
      <c r="B56" s="208"/>
      <c r="C56" s="212">
        <v>600</v>
      </c>
      <c r="D56" s="212">
        <v>600</v>
      </c>
      <c r="E56" s="212">
        <v>600</v>
      </c>
      <c r="F56" s="213">
        <v>600</v>
      </c>
      <c r="G56" s="305">
        <v>600</v>
      </c>
      <c r="H56" s="213">
        <v>600</v>
      </c>
    </row>
    <row r="57" spans="1:10">
      <c r="A57" s="220" t="s">
        <v>301</v>
      </c>
      <c r="B57" s="220"/>
      <c r="C57" s="221"/>
      <c r="D57" s="221"/>
      <c r="E57" s="221"/>
      <c r="F57" s="222"/>
      <c r="G57" s="310">
        <f>25*12</f>
        <v>300</v>
      </c>
      <c r="H57" s="311">
        <f>25*12</f>
        <v>300</v>
      </c>
    </row>
    <row r="58" spans="1:10">
      <c r="A58" s="223" t="s">
        <v>303</v>
      </c>
      <c r="B58" s="223"/>
      <c r="C58" s="224">
        <f>+SUM(C54:C57)</f>
        <v>3100</v>
      </c>
      <c r="D58" s="224">
        <f t="shared" ref="D58:H58" si="15">+SUM(D54:D57)</f>
        <v>3100</v>
      </c>
      <c r="E58" s="224">
        <f t="shared" si="15"/>
        <v>3100</v>
      </c>
      <c r="F58" s="225">
        <f t="shared" si="15"/>
        <v>3100</v>
      </c>
      <c r="G58" s="306">
        <f t="shared" si="15"/>
        <v>3400</v>
      </c>
      <c r="H58" s="225">
        <f t="shared" si="15"/>
        <v>3100</v>
      </c>
    </row>
    <row r="60" spans="1:10">
      <c r="A60" s="226" t="s">
        <v>302</v>
      </c>
      <c r="B60" s="226"/>
      <c r="C60" s="227">
        <f>+C23+C39+C51+C58</f>
        <v>92690.389451361116</v>
      </c>
      <c r="D60" s="227">
        <f t="shared" ref="D60:H60" si="16">+D23+D39+D51+D58</f>
        <v>93988.957535416688</v>
      </c>
      <c r="E60" s="227">
        <f t="shared" si="16"/>
        <v>98149.006574999992</v>
      </c>
      <c r="F60" s="228">
        <f t="shared" si="16"/>
        <v>96586.623775333341</v>
      </c>
      <c r="G60" s="229">
        <f t="shared" si="16"/>
        <v>100473.3805</v>
      </c>
      <c r="H60" s="228">
        <f t="shared" si="16"/>
        <v>97766.627437000003</v>
      </c>
      <c r="J60" s="196"/>
    </row>
    <row r="61" spans="1:10">
      <c r="A61" s="309"/>
      <c r="B61" s="309"/>
      <c r="C61" s="287"/>
      <c r="D61" s="287"/>
      <c r="E61" s="287"/>
      <c r="F61" s="287"/>
      <c r="G61" s="287"/>
      <c r="H61" s="287"/>
    </row>
    <row r="62" spans="1:10">
      <c r="A62" s="205"/>
      <c r="B62" s="206"/>
      <c r="C62" s="206" t="s">
        <v>305</v>
      </c>
      <c r="D62" s="206"/>
      <c r="E62" s="206"/>
      <c r="F62" s="206"/>
      <c r="G62" s="206"/>
      <c r="H62" s="207"/>
    </row>
    <row r="63" spans="1:10">
      <c r="A63" s="200" t="s">
        <v>306</v>
      </c>
      <c r="B63" s="308"/>
      <c r="C63" s="201">
        <f>+C60-C21</f>
        <v>87649.275326361123</v>
      </c>
      <c r="D63" s="201">
        <f>+D60-D21</f>
        <v>88947.843410416681</v>
      </c>
      <c r="E63" s="201">
        <f>+E60-E21</f>
        <v>92275.566074999995</v>
      </c>
      <c r="F63" s="201">
        <f t="shared" ref="F63:H63" si="17">+F60-F21</f>
        <v>91326.330775333336</v>
      </c>
      <c r="G63" s="201">
        <f t="shared" si="17"/>
        <v>94909</v>
      </c>
      <c r="H63" s="202">
        <f t="shared" si="17"/>
        <v>92202.246937000004</v>
      </c>
    </row>
    <row r="64" spans="1:10">
      <c r="G64" s="307"/>
    </row>
  </sheetData>
  <mergeCells count="2">
    <mergeCell ref="A13:A15"/>
    <mergeCell ref="B1:F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Top Sheet</vt:lpstr>
      <vt:lpstr>Summary New Year</vt:lpstr>
      <vt:lpstr>New Year-Full Year</vt:lpstr>
      <vt:lpstr>Pastor Detail</vt:lpstr>
      <vt:lpstr>Bud_Yr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Dawn Jacobson</cp:lastModifiedBy>
  <cp:lastPrinted>2018-11-07T19:55:38Z</cp:lastPrinted>
  <dcterms:created xsi:type="dcterms:W3CDTF">2011-12-01T18:07:46Z</dcterms:created>
  <dcterms:modified xsi:type="dcterms:W3CDTF">2018-11-07T20:38:55Z</dcterms:modified>
</cp:coreProperties>
</file>